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DA Regulations\Disclosure of benefitpremium illustration for Health insurance policies issued on floater basis\Benefit Illustration Calculators\"/>
    </mc:Choice>
  </mc:AlternateContent>
  <xr:revisionPtr revIDLastSave="0" documentId="13_ncr:1_{71CBECBC-718E-4702-AD7A-4C052ABDC3E5}" xr6:coauthVersionLast="47" xr6:coauthVersionMax="47" xr10:uidLastSave="{00000000-0000-0000-0000-000000000000}"/>
  <workbookProtection workbookAlgorithmName="SHA-512" workbookHashValue="Wcfc/kf2AN6vO7gzMhj9oVYm+Bht4xsbn772mwIw2BpC1w3VXOlQ+OKu7YYq2BWMCQc+AhnfUZ0PiLc0KhPhZw==" workbookSaltValue="hzOCe/CbeLScU9nRiKCRuQ==" workbookSpinCount="100000" lockStructure="1"/>
  <bookViews>
    <workbookView xWindow="-120" yWindow="-120" windowWidth="20730" windowHeight="11160" xr2:uid="{00000000-000D-0000-FFFF-FFFF00000000}"/>
  </bookViews>
  <sheets>
    <sheet name="Sheet1" sheetId="7" r:id="rId1"/>
    <sheet name="Drop down lists" sheetId="2" state="hidden" r:id="rId2"/>
    <sheet name="Master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3" l="1"/>
  <c r="X6" i="3" s="1"/>
  <c r="W7" i="3"/>
  <c r="AF5" i="3" l="1"/>
  <c r="D14" i="7" s="1"/>
  <c r="AE5" i="3"/>
  <c r="A14" i="7" s="1"/>
  <c r="AB20" i="3"/>
  <c r="X7" i="3"/>
  <c r="W5" i="3"/>
  <c r="W4" i="3"/>
  <c r="Y4" i="3" s="1"/>
  <c r="G12" i="7"/>
  <c r="G11" i="7"/>
  <c r="G10" i="7"/>
  <c r="G9" i="7"/>
  <c r="C12" i="7"/>
  <c r="C11" i="7"/>
  <c r="C10" i="7"/>
  <c r="C9" i="7"/>
  <c r="A12" i="7"/>
  <c r="A11" i="7"/>
  <c r="A10" i="7"/>
  <c r="A9" i="7"/>
  <c r="Y6" i="3" l="1"/>
  <c r="V4" i="3"/>
  <c r="AG5" i="3" s="1"/>
  <c r="H14" i="7" s="1"/>
  <c r="Y7" i="3"/>
  <c r="AC22" i="3"/>
  <c r="AC19" i="3"/>
  <c r="AC20" i="3" s="1"/>
  <c r="Y5" i="3"/>
  <c r="X5" i="3"/>
  <c r="X4" i="3"/>
  <c r="AB19" i="3"/>
  <c r="K9" i="7" l="1"/>
  <c r="AK16" i="3" l="1"/>
  <c r="AE38" i="3" l="1"/>
  <c r="AD9" i="3" l="1"/>
  <c r="AK10" i="3" l="1"/>
  <c r="AK9" i="3"/>
  <c r="AK8" i="3"/>
  <c r="AK7" i="3"/>
  <c r="AK6" i="3"/>
  <c r="AK5" i="3"/>
  <c r="AK4" i="3"/>
  <c r="AK3" i="3"/>
  <c r="U8" i="3" l="1"/>
  <c r="U7" i="3"/>
  <c r="U6" i="3"/>
  <c r="U5" i="3"/>
  <c r="U4" i="3"/>
  <c r="AB21" i="3" l="1"/>
  <c r="X8" i="3"/>
  <c r="AB22" i="3" l="1"/>
  <c r="AB23" i="3" s="1"/>
  <c r="I9" i="7" s="1"/>
  <c r="S10" i="3"/>
  <c r="Q10" i="3"/>
  <c r="S4" i="3"/>
  <c r="Q4" i="3"/>
  <c r="R10" i="3"/>
  <c r="R4" i="3"/>
  <c r="Z4" i="3" l="1"/>
  <c r="AA4" i="3"/>
  <c r="AB4" i="3" l="1"/>
  <c r="D9" i="7" l="1"/>
  <c r="F9" i="7"/>
  <c r="B9" i="7"/>
  <c r="S14" i="3" l="1"/>
  <c r="Q14" i="3"/>
  <c r="S8" i="3"/>
  <c r="Q8" i="3"/>
  <c r="R14" i="3"/>
  <c r="R8" i="3"/>
  <c r="Q5" i="3"/>
  <c r="R11" i="3"/>
  <c r="S11" i="3"/>
  <c r="Q11" i="3"/>
  <c r="S5" i="3"/>
  <c r="R5" i="3"/>
  <c r="R13" i="3"/>
  <c r="S13" i="3"/>
  <c r="R7" i="3"/>
  <c r="Q7" i="3"/>
  <c r="Q13" i="3"/>
  <c r="S7" i="3"/>
  <c r="S12" i="3"/>
  <c r="R12" i="3"/>
  <c r="Q12" i="3"/>
  <c r="Q6" i="3"/>
  <c r="S6" i="3"/>
  <c r="R6" i="3"/>
  <c r="Z5" i="3" l="1"/>
  <c r="AA5" i="3"/>
  <c r="Z6" i="3"/>
  <c r="AA6" i="3"/>
  <c r="Z7" i="3"/>
  <c r="AA7" i="3"/>
  <c r="AB8" i="3"/>
  <c r="AB6" i="3" l="1"/>
  <c r="AB7" i="3"/>
  <c r="AB5" i="3"/>
  <c r="F11" i="7" l="1"/>
  <c r="B11" i="7"/>
  <c r="D11" i="7"/>
  <c r="F12" i="7"/>
  <c r="B12" i="7"/>
  <c r="D12" i="7"/>
  <c r="F10" i="7"/>
  <c r="D10" i="7"/>
  <c r="B10" i="7"/>
  <c r="Z10" i="3"/>
  <c r="H9" i="7" s="1"/>
  <c r="Z9" i="3"/>
  <c r="AB9" i="3"/>
  <c r="AB24" i="3" l="1"/>
  <c r="AB10" i="3" s="1"/>
  <c r="AF4" i="3"/>
  <c r="D13" i="7" s="1"/>
  <c r="AE4" i="3"/>
  <c r="A13" i="7" s="1"/>
  <c r="AL15" i="3"/>
  <c r="AG4" i="3" l="1"/>
  <c r="H13" i="7" s="1"/>
  <c r="J9" i="7"/>
  <c r="AL16" i="3"/>
  <c r="AL17" i="3" l="1"/>
  <c r="AL18" i="3" s="1"/>
  <c r="AE41" i="3" s="1"/>
  <c r="AF41" i="3" s="1"/>
  <c r="AC10" i="3" s="1"/>
  <c r="AJ13" i="3" s="1"/>
  <c r="AE40" i="3" l="1"/>
  <c r="AF40" i="3" s="1"/>
  <c r="AC9" i="3" s="1"/>
</calcChain>
</file>

<file path=xl/sharedStrings.xml><?xml version="1.0" encoding="utf-8"?>
<sst xmlns="http://schemas.openxmlformats.org/spreadsheetml/2006/main" count="257" uniqueCount="123">
  <si>
    <t>No</t>
  </si>
  <si>
    <t>No. of Children</t>
  </si>
  <si>
    <t>Sr. No.</t>
  </si>
  <si>
    <t>Insured Name</t>
  </si>
  <si>
    <t>Age</t>
  </si>
  <si>
    <t>Sum Insured</t>
  </si>
  <si>
    <t>Age Band</t>
  </si>
  <si>
    <t>91 days - 25 years</t>
  </si>
  <si>
    <t>26 years - 35 years</t>
  </si>
  <si>
    <t>36 years - 40 years</t>
  </si>
  <si>
    <t>41 years - 45 years</t>
  </si>
  <si>
    <t>46 years - 50 years</t>
  </si>
  <si>
    <t>51 years - 55 years</t>
  </si>
  <si>
    <t>56 years - 60 years</t>
  </si>
  <si>
    <t>61 years - 65 years</t>
  </si>
  <si>
    <t>66 years - 70 years</t>
  </si>
  <si>
    <t>71 years - 75 years</t>
  </si>
  <si>
    <t>Working</t>
  </si>
  <si>
    <t>DOB</t>
  </si>
  <si>
    <t>Age band</t>
  </si>
  <si>
    <t>Base Premium</t>
  </si>
  <si>
    <t>NA</t>
  </si>
  <si>
    <t>Age Bands</t>
  </si>
  <si>
    <t>Discount</t>
  </si>
  <si>
    <t>Family floater Disc</t>
  </si>
  <si>
    <t>Per child</t>
  </si>
  <si>
    <t>For addition of 1 adult, the discount will be:</t>
  </si>
  <si>
    <t>Adult</t>
  </si>
  <si>
    <t>Highest Age</t>
  </si>
  <si>
    <t>Age band of Highest</t>
  </si>
  <si>
    <t>Discount %</t>
  </si>
  <si>
    <t>Family Floater</t>
  </si>
  <si>
    <t>Sum insured</t>
  </si>
  <si>
    <t>Child</t>
  </si>
  <si>
    <t>Total disc</t>
  </si>
  <si>
    <t>Total disc amt</t>
  </si>
  <si>
    <t>Total (Individual)</t>
  </si>
  <si>
    <t>Total (Family floater)</t>
  </si>
  <si>
    <t>Loading amt</t>
  </si>
  <si>
    <t>Loading</t>
  </si>
  <si>
    <t>Total</t>
  </si>
  <si>
    <t>Half_Yearly</t>
  </si>
  <si>
    <t>Installment Calculation</t>
  </si>
  <si>
    <t>Installment Frequency</t>
  </si>
  <si>
    <t>Loading on Annual Premium</t>
  </si>
  <si>
    <t>Quarterly</t>
  </si>
  <si>
    <t>Monthly</t>
  </si>
  <si>
    <t>Option Loading</t>
  </si>
  <si>
    <t>Total with installment</t>
  </si>
  <si>
    <t>Individual</t>
  </si>
  <si>
    <t>FF</t>
  </si>
  <si>
    <t>Premium with loading</t>
  </si>
  <si>
    <t>Basic Premium</t>
  </si>
  <si>
    <t>Concat</t>
  </si>
  <si>
    <t>Net Premium wo installment</t>
  </si>
  <si>
    <t>Very imp</t>
  </si>
  <si>
    <t>No. of Insured</t>
  </si>
  <si>
    <t>Self</t>
  </si>
  <si>
    <t>Spouse</t>
  </si>
  <si>
    <t>Son</t>
  </si>
  <si>
    <t>Daughter</t>
  </si>
  <si>
    <t>Mother</t>
  </si>
  <si>
    <t>Father</t>
  </si>
  <si>
    <t>Brother</t>
  </si>
  <si>
    <t>Sister</t>
  </si>
  <si>
    <t>Mother-in-Law</t>
  </si>
  <si>
    <t>Father-in-law</t>
  </si>
  <si>
    <t>Son-in-law</t>
  </si>
  <si>
    <t>Daughter-in-law</t>
  </si>
  <si>
    <t>Grand-Mother</t>
  </si>
  <si>
    <t>Grand-Father</t>
  </si>
  <si>
    <t>Ind Relationship</t>
  </si>
  <si>
    <t>Family Relationship</t>
  </si>
  <si>
    <t>Substandard Loading</t>
  </si>
  <si>
    <t>&gt;76 years</t>
  </si>
  <si>
    <t>Policy Tenure</t>
  </si>
  <si>
    <t>Occupation</t>
  </si>
  <si>
    <t>Male</t>
  </si>
  <si>
    <t>Female</t>
  </si>
  <si>
    <t>Select</t>
  </si>
  <si>
    <t>3 1/2 months</t>
  </si>
  <si>
    <t>6 1/2 months</t>
  </si>
  <si>
    <t>9 1/2 months</t>
  </si>
  <si>
    <t>3 1/2 Months</t>
  </si>
  <si>
    <t>6 1/2 Months</t>
  </si>
  <si>
    <t>9 1/2 Months</t>
  </si>
  <si>
    <t>Hospital Daily Cash</t>
  </si>
  <si>
    <t>Students</t>
  </si>
  <si>
    <t>Professional/Administrative/Managerial</t>
  </si>
  <si>
    <t>Production Worker, Skilled and Non Agricultural labour</t>
  </si>
  <si>
    <t>Police/Paramilatry/Defence</t>
  </si>
  <si>
    <t>Housewife</t>
  </si>
  <si>
    <t>Hospitality &amp; Support Workers</t>
  </si>
  <si>
    <t>Farmers and Agricultural Worker</t>
  </si>
  <si>
    <t>Employee</t>
  </si>
  <si>
    <t>Clerical, Supervisory and related workers</t>
  </si>
  <si>
    <t>Business/Traders</t>
  </si>
  <si>
    <t>Ant other</t>
  </si>
  <si>
    <t>Healthcare Worker Discount</t>
  </si>
  <si>
    <t>Salaried</t>
  </si>
  <si>
    <t>Student</t>
  </si>
  <si>
    <t>Retired</t>
  </si>
  <si>
    <t>Others</t>
  </si>
  <si>
    <t>UIN: LIBHLIP21089V012021</t>
  </si>
  <si>
    <t>Benefit Illustration in respect of policies offered on individual and family floater basis</t>
  </si>
  <si>
    <t>1st Adult Age</t>
  </si>
  <si>
    <t>2nd Adult Age</t>
  </si>
  <si>
    <t>1st Child Age</t>
  </si>
  <si>
    <t>2nd Child Age</t>
  </si>
  <si>
    <t>Age of the members insured</t>
  </si>
  <si>
    <t>Coverage opted on individual basis covering each member of the family separately (at a single point in time)</t>
  </si>
  <si>
    <t>Coverage opted on individual basis covering multiple members of the family under a single policy (Sum insured is available for each member of the family)</t>
  </si>
  <si>
    <t>Coverage opted on family floater basis with overall Sum insured (Only one sum insured is available for the entire family)</t>
  </si>
  <si>
    <t>Premium (Rs.)</t>
  </si>
  <si>
    <t>Sum insured (Rs.)</t>
  </si>
  <si>
    <t>Discount, (if any)</t>
  </si>
  <si>
    <t>Premium after discount (Rs.)</t>
  </si>
  <si>
    <t>Premium or consolidated premium for all members of family (Rs.)</t>
  </si>
  <si>
    <t>Floater discount, if any</t>
  </si>
  <si>
    <t>Otional Hospital Daily Cash Cover</t>
  </si>
  <si>
    <t>Yes</t>
  </si>
  <si>
    <t>0-11 Months</t>
  </si>
  <si>
    <t>CORONA KAVACH POLICY, LIBERTY GENERAL INSURANCE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</si>
</sst>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Garamond"/>
      <family val="1"/>
    </font>
    <font>
      <sz val="11"/>
      <color theme="4" tint="-0.499984740745262"/>
      <name val="Rockwell"/>
      <family val="1"/>
    </font>
    <font>
      <sz val="9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rgb="FF000000"/>
      <name val="Garamond"/>
      <family val="1"/>
    </font>
    <font>
      <b/>
      <u/>
      <sz val="11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7" fillId="0" borderId="0" xfId="0" applyFont="1"/>
    <xf numFmtId="9" fontId="0" fillId="0" borderId="0" xfId="0" applyNumberFormat="1"/>
    <xf numFmtId="9" fontId="0" fillId="0" borderId="0" xfId="0" applyNumberFormat="1" applyFont="1"/>
    <xf numFmtId="1" fontId="0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165" fontId="0" fillId="0" borderId="0" xfId="1" applyNumberFormat="1" applyFont="1"/>
    <xf numFmtId="0" fontId="7" fillId="6" borderId="0" xfId="0" applyFont="1" applyFill="1"/>
    <xf numFmtId="0" fontId="7" fillId="6" borderId="0" xfId="0" applyFont="1" applyFill="1" applyAlignment="1">
      <alignment wrapText="1"/>
    </xf>
    <xf numFmtId="165" fontId="0" fillId="0" borderId="0" xfId="0" applyNumberFormat="1" applyFont="1"/>
    <xf numFmtId="165" fontId="0" fillId="0" borderId="1" xfId="1" applyNumberFormat="1" applyFont="1" applyBorder="1"/>
    <xf numFmtId="0" fontId="0" fillId="0" borderId="1" xfId="0" applyFont="1" applyFill="1" applyBorder="1"/>
    <xf numFmtId="9" fontId="0" fillId="0" borderId="1" xfId="0" applyNumberFormat="1" applyBorder="1"/>
    <xf numFmtId="0" fontId="7" fillId="2" borderId="1" xfId="0" applyFont="1" applyFill="1" applyBorder="1" applyAlignment="1"/>
    <xf numFmtId="0" fontId="7" fillId="2" borderId="1" xfId="0" applyFont="1" applyFill="1" applyBorder="1"/>
    <xf numFmtId="0" fontId="7" fillId="0" borderId="1" xfId="0" applyFont="1" applyBorder="1"/>
    <xf numFmtId="165" fontId="0" fillId="0" borderId="0" xfId="1" applyNumberFormat="1" applyFont="1" applyFill="1" applyBorder="1"/>
    <xf numFmtId="165" fontId="7" fillId="3" borderId="0" xfId="1" applyNumberFormat="1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</xf>
    <xf numFmtId="14" fontId="0" fillId="0" borderId="0" xfId="1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7" fillId="4" borderId="0" xfId="0" applyFont="1" applyFill="1" applyBorder="1"/>
    <xf numFmtId="0" fontId="7" fillId="5" borderId="0" xfId="0" applyFont="1" applyFill="1" applyBorder="1"/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0" fontId="6" fillId="6" borderId="0" xfId="0" applyFont="1" applyFill="1" applyBorder="1" applyAlignment="1">
      <alignment vertical="center"/>
    </xf>
    <xf numFmtId="165" fontId="0" fillId="0" borderId="1" xfId="0" applyNumberFormat="1" applyFont="1" applyBorder="1"/>
    <xf numFmtId="0" fontId="5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1" xfId="0" applyFont="1" applyBorder="1"/>
    <xf numFmtId="0" fontId="0" fillId="0" borderId="0" xfId="0" applyFont="1" applyFill="1" applyBorder="1"/>
    <xf numFmtId="0" fontId="9" fillId="0" borderId="0" xfId="0" applyFont="1" applyBorder="1"/>
    <xf numFmtId="0" fontId="7" fillId="0" borderId="1" xfId="0" applyFont="1" applyFill="1" applyBorder="1"/>
    <xf numFmtId="0" fontId="10" fillId="0" borderId="0" xfId="0" applyFont="1"/>
    <xf numFmtId="0" fontId="6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/>
    <xf numFmtId="1" fontId="0" fillId="0" borderId="0" xfId="0" applyNumberFormat="1" applyFont="1" applyFill="1" applyBorder="1"/>
    <xf numFmtId="0" fontId="5" fillId="0" borderId="12" xfId="0" applyFont="1" applyFill="1" applyBorder="1" applyAlignment="1">
      <alignment vertical="center"/>
    </xf>
    <xf numFmtId="43" fontId="0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1" fontId="0" fillId="0" borderId="0" xfId="0" applyNumberFormat="1" applyFont="1" applyBorder="1" applyAlignment="1"/>
    <xf numFmtId="0" fontId="0" fillId="0" borderId="0" xfId="0" applyNumberFormat="1" applyFont="1" applyBorder="1"/>
    <xf numFmtId="166" fontId="0" fillId="0" borderId="0" xfId="1" applyNumberFormat="1" applyFont="1" applyFill="1" applyBorder="1"/>
    <xf numFmtId="0" fontId="7" fillId="0" borderId="0" xfId="0" applyFont="1" applyFill="1" applyBorder="1"/>
    <xf numFmtId="0" fontId="12" fillId="0" borderId="1" xfId="0" applyFont="1" applyFill="1" applyBorder="1" applyAlignment="1">
      <alignment vertical="center"/>
    </xf>
    <xf numFmtId="0" fontId="2" fillId="0" borderId="1" xfId="0" applyFont="1" applyBorder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/>
    <xf numFmtId="165" fontId="12" fillId="0" borderId="1" xfId="1" applyNumberFormat="1" applyFont="1" applyFill="1" applyBorder="1" applyAlignment="1">
      <alignment vertical="center"/>
    </xf>
    <xf numFmtId="165" fontId="12" fillId="0" borderId="1" xfId="1" applyNumberFormat="1" applyFont="1" applyBorder="1" applyAlignment="1">
      <alignment horizontal="left" vertical="center"/>
    </xf>
    <xf numFmtId="1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65" fontId="12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1" fillId="7" borderId="8" xfId="0" applyFont="1" applyFill="1" applyBorder="1" applyProtection="1">
      <protection hidden="1"/>
    </xf>
    <xf numFmtId="0" fontId="3" fillId="10" borderId="1" xfId="0" applyFont="1" applyFill="1" applyBorder="1" applyProtection="1">
      <protection hidden="1"/>
    </xf>
    <xf numFmtId="0" fontId="11" fillId="9" borderId="1" xfId="0" applyFont="1" applyFill="1" applyBorder="1" applyProtection="1">
      <protection locked="0"/>
    </xf>
    <xf numFmtId="0" fontId="11" fillId="7" borderId="0" xfId="0" applyFont="1" applyFill="1" applyProtection="1">
      <protection hidden="1"/>
    </xf>
    <xf numFmtId="0" fontId="11" fillId="9" borderId="1" xfId="0" applyFont="1" applyFill="1" applyBorder="1" applyAlignment="1" applyProtection="1">
      <alignment horizontal="right"/>
      <protection locked="0"/>
    </xf>
    <xf numFmtId="0" fontId="16" fillId="11" borderId="22" xfId="0" applyFont="1" applyFill="1" applyBorder="1" applyAlignment="1" applyProtection="1">
      <alignment vertical="center" wrapText="1"/>
      <protection hidden="1"/>
    </xf>
    <xf numFmtId="0" fontId="16" fillId="11" borderId="22" xfId="0" applyFont="1" applyFill="1" applyBorder="1" applyAlignment="1" applyProtection="1">
      <alignment horizontal="center" vertical="center" wrapText="1"/>
      <protection hidden="1"/>
    </xf>
    <xf numFmtId="0" fontId="16" fillId="11" borderId="23" xfId="0" applyFont="1" applyFill="1" applyBorder="1" applyAlignment="1" applyProtection="1">
      <alignment vertical="center" wrapText="1"/>
      <protection hidden="1"/>
    </xf>
    <xf numFmtId="165" fontId="16" fillId="11" borderId="21" xfId="1" applyNumberFormat="1" applyFont="1" applyFill="1" applyBorder="1" applyAlignment="1" applyProtection="1">
      <alignment vertical="center" wrapText="1"/>
      <protection hidden="1"/>
    </xf>
    <xf numFmtId="166" fontId="16" fillId="11" borderId="24" xfId="1" applyNumberFormat="1" applyFont="1" applyFill="1" applyBorder="1" applyAlignment="1" applyProtection="1">
      <alignment vertical="center" wrapText="1"/>
      <protection hidden="1"/>
    </xf>
    <xf numFmtId="0" fontId="3" fillId="7" borderId="0" xfId="0" applyFont="1" applyFill="1" applyBorder="1" applyProtection="1">
      <protection hidden="1"/>
    </xf>
    <xf numFmtId="3" fontId="2" fillId="0" borderId="1" xfId="0" applyNumberFormat="1" applyFont="1" applyFill="1" applyBorder="1" applyAlignment="1">
      <alignment horizontal="right"/>
    </xf>
    <xf numFmtId="1" fontId="0" fillId="0" borderId="0" xfId="1" applyNumberFormat="1" applyFont="1" applyFill="1" applyBorder="1" applyAlignment="1" applyProtection="1">
      <alignment horizontal="center" vertical="center"/>
    </xf>
    <xf numFmtId="9" fontId="0" fillId="0" borderId="0" xfId="0" applyNumberFormat="1" applyFont="1" applyFill="1"/>
    <xf numFmtId="0" fontId="0" fillId="7" borderId="0" xfId="0" applyFill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6" fillId="11" borderId="16" xfId="0" applyFont="1" applyFill="1" applyBorder="1" applyAlignment="1" applyProtection="1">
      <alignment vertical="center" wrapText="1"/>
      <protection hidden="1"/>
    </xf>
    <xf numFmtId="0" fontId="16" fillId="11" borderId="17" xfId="0" applyFont="1" applyFill="1" applyBorder="1" applyAlignment="1" applyProtection="1">
      <alignment vertical="center" wrapText="1"/>
      <protection hidden="1"/>
    </xf>
    <xf numFmtId="0" fontId="16" fillId="11" borderId="18" xfId="0" applyFont="1" applyFill="1" applyBorder="1" applyAlignment="1" applyProtection="1">
      <alignment vertical="center" wrapText="1"/>
      <protection hidden="1"/>
    </xf>
    <xf numFmtId="0" fontId="16" fillId="11" borderId="26" xfId="0" applyFont="1" applyFill="1" applyBorder="1" applyAlignment="1" applyProtection="1">
      <alignment vertical="center" wrapText="1"/>
      <protection hidden="1"/>
    </xf>
    <xf numFmtId="0" fontId="16" fillId="11" borderId="27" xfId="0" applyFont="1" applyFill="1" applyBorder="1" applyAlignment="1" applyProtection="1">
      <alignment vertical="center" wrapText="1"/>
      <protection hidden="1"/>
    </xf>
    <xf numFmtId="0" fontId="16" fillId="11" borderId="28" xfId="0" applyFont="1" applyFill="1" applyBorder="1" applyAlignment="1" applyProtection="1">
      <alignment vertical="center" wrapText="1"/>
      <protection hidden="1"/>
    </xf>
    <xf numFmtId="9" fontId="16" fillId="11" borderId="19" xfId="0" applyNumberFormat="1" applyFont="1" applyFill="1" applyBorder="1" applyAlignment="1" applyProtection="1">
      <alignment horizontal="center" vertical="center" wrapText="1"/>
      <protection hidden="1"/>
    </xf>
    <xf numFmtId="166" fontId="16" fillId="11" borderId="19" xfId="1" applyNumberFormat="1" applyFont="1" applyFill="1" applyBorder="1" applyAlignment="1" applyProtection="1">
      <alignment horizontal="center" vertical="center" wrapText="1"/>
      <protection hidden="1"/>
    </xf>
    <xf numFmtId="9" fontId="16" fillId="11" borderId="19" xfId="2" applyFont="1" applyFill="1" applyBorder="1" applyAlignment="1" applyProtection="1">
      <alignment horizontal="center" vertical="center" wrapText="1"/>
      <protection hidden="1"/>
    </xf>
    <xf numFmtId="0" fontId="16" fillId="11" borderId="16" xfId="0" applyFont="1" applyFill="1" applyBorder="1" applyAlignment="1" applyProtection="1">
      <alignment horizontal="left" vertical="center" wrapText="1"/>
      <protection hidden="1"/>
    </xf>
    <xf numFmtId="0" fontId="16" fillId="11" borderId="17" xfId="0" applyFont="1" applyFill="1" applyBorder="1" applyAlignment="1" applyProtection="1">
      <alignment horizontal="left" vertical="center" wrapText="1"/>
      <protection hidden="1"/>
    </xf>
    <xf numFmtId="0" fontId="16" fillId="11" borderId="18" xfId="0" applyFont="1" applyFill="1" applyBorder="1" applyAlignment="1" applyProtection="1">
      <alignment horizontal="left" vertical="center" wrapText="1"/>
      <protection hidden="1"/>
    </xf>
    <xf numFmtId="0" fontId="16" fillId="11" borderId="25" xfId="0" applyFont="1" applyFill="1" applyBorder="1" applyAlignment="1" applyProtection="1">
      <alignment horizontal="left" vertical="center" wrapText="1"/>
      <protection hidden="1"/>
    </xf>
    <xf numFmtId="0" fontId="14" fillId="8" borderId="4" xfId="0" applyFont="1" applyFill="1" applyBorder="1" applyAlignment="1" applyProtection="1">
      <alignment horizontal="center"/>
      <protection hidden="1"/>
    </xf>
    <xf numFmtId="0" fontId="14" fillId="8" borderId="5" xfId="0" applyFont="1" applyFill="1" applyBorder="1" applyAlignment="1" applyProtection="1">
      <alignment horizontal="center"/>
      <protection hidden="1"/>
    </xf>
    <xf numFmtId="0" fontId="14" fillId="8" borderId="6" xfId="0" applyFont="1" applyFill="1" applyBorder="1" applyAlignment="1" applyProtection="1">
      <alignment horizontal="center"/>
      <protection hidden="1"/>
    </xf>
    <xf numFmtId="0" fontId="3" fillId="7" borderId="7" xfId="0" applyFont="1" applyFill="1" applyBorder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7" borderId="8" xfId="0" applyFont="1" applyFill="1" applyBorder="1" applyAlignment="1" applyProtection="1">
      <alignment horizontal="center"/>
      <protection hidden="1"/>
    </xf>
    <xf numFmtId="0" fontId="11" fillId="7" borderId="0" xfId="0" applyFont="1" applyFill="1" applyBorder="1" applyAlignment="1" applyProtection="1">
      <alignment horizontal="center"/>
      <protection hidden="1"/>
    </xf>
    <xf numFmtId="0" fontId="11" fillId="7" borderId="0" xfId="0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right"/>
      <protection hidden="1"/>
    </xf>
    <xf numFmtId="0" fontId="3" fillId="7" borderId="8" xfId="0" applyFont="1" applyFill="1" applyBorder="1" applyAlignment="1" applyProtection="1">
      <alignment horizontal="right"/>
      <protection hidden="1"/>
    </xf>
    <xf numFmtId="0" fontId="15" fillId="11" borderId="20" xfId="0" applyFont="1" applyFill="1" applyBorder="1" applyAlignment="1" applyProtection="1">
      <alignment vertical="center" wrapText="1"/>
      <protection hidden="1"/>
    </xf>
    <xf numFmtId="0" fontId="15" fillId="11" borderId="21" xfId="0" applyFont="1" applyFill="1" applyBorder="1" applyAlignment="1" applyProtection="1">
      <alignment vertical="center" wrapText="1"/>
      <protection hidden="1"/>
    </xf>
    <xf numFmtId="0" fontId="15" fillId="11" borderId="14" xfId="0" applyFont="1" applyFill="1" applyBorder="1" applyAlignment="1" applyProtection="1">
      <alignment horizontal="justify" vertical="center" wrapText="1"/>
      <protection hidden="1"/>
    </xf>
    <xf numFmtId="0" fontId="15" fillId="11" borderId="10" xfId="0" applyFont="1" applyFill="1" applyBorder="1" applyAlignment="1" applyProtection="1">
      <alignment horizontal="justify" vertical="center" wrapText="1"/>
      <protection hidden="1"/>
    </xf>
    <xf numFmtId="0" fontId="15" fillId="11" borderId="9" xfId="0" applyFont="1" applyFill="1" applyBorder="1" applyAlignment="1" applyProtection="1">
      <alignment horizontal="justify" vertical="center" wrapText="1"/>
      <protection hidden="1"/>
    </xf>
    <xf numFmtId="0" fontId="15" fillId="11" borderId="14" xfId="0" applyFont="1" applyFill="1" applyBorder="1" applyAlignment="1" applyProtection="1">
      <alignment vertical="center" wrapText="1"/>
      <protection hidden="1"/>
    </xf>
    <xf numFmtId="0" fontId="15" fillId="11" borderId="9" xfId="0" applyFont="1" applyFill="1" applyBorder="1" applyAlignment="1" applyProtection="1">
      <alignment vertical="center" wrapText="1"/>
      <protection hidden="1"/>
    </xf>
    <xf numFmtId="0" fontId="15" fillId="11" borderId="10" xfId="0" applyFont="1" applyFill="1" applyBorder="1" applyAlignment="1" applyProtection="1">
      <alignment vertical="center" wrapText="1"/>
      <protection hidden="1"/>
    </xf>
    <xf numFmtId="0" fontId="3" fillId="10" borderId="1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217C-8BBF-4161-8FF4-4EBC9EC4D4E3}">
  <sheetPr codeName="Sheet1"/>
  <dimension ref="A1:K14"/>
  <sheetViews>
    <sheetView tabSelected="1" workbookViewId="0">
      <selection activeCell="D4" sqref="D4"/>
    </sheetView>
  </sheetViews>
  <sheetFormatPr defaultRowHeight="15" x14ac:dyDescent="0.25"/>
  <cols>
    <col min="1" max="1" width="15.28515625" style="110" customWidth="1"/>
    <col min="2" max="2" width="19.5703125" style="110" customWidth="1"/>
    <col min="3" max="3" width="18.5703125" style="110" customWidth="1"/>
    <col min="4" max="4" width="16" style="110" customWidth="1"/>
    <col min="5" max="5" width="14.85546875" style="110" customWidth="1"/>
    <col min="6" max="6" width="14.7109375" style="110" customWidth="1"/>
    <col min="7" max="7" width="13.28515625" style="110" customWidth="1"/>
    <col min="8" max="8" width="25.7109375" style="110" customWidth="1"/>
    <col min="9" max="9" width="14.7109375" style="110" customWidth="1"/>
    <col min="10" max="10" width="17.42578125" style="110" customWidth="1"/>
    <col min="11" max="11" width="14.140625" style="110" customWidth="1"/>
    <col min="12" max="16384" width="9.140625" style="110"/>
  </cols>
  <sheetData>
    <row r="1" spans="1:11" ht="15.75" x14ac:dyDescent="0.25">
      <c r="A1" s="125" t="s">
        <v>122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5.75" x14ac:dyDescent="0.25">
      <c r="A2" s="128" t="s">
        <v>104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15.75" x14ac:dyDescent="0.25">
      <c r="A3" s="97" t="s">
        <v>5</v>
      </c>
      <c r="B3" s="98">
        <v>500000</v>
      </c>
      <c r="C3" s="143" t="s">
        <v>119</v>
      </c>
      <c r="D3" s="143"/>
      <c r="E3" s="98" t="s">
        <v>120</v>
      </c>
      <c r="F3" s="97" t="s">
        <v>75</v>
      </c>
      <c r="G3" s="100" t="s">
        <v>85</v>
      </c>
      <c r="H3" s="99"/>
      <c r="I3" s="99"/>
      <c r="J3" s="99"/>
      <c r="K3" s="96"/>
    </row>
    <row r="4" spans="1:11" ht="15.75" x14ac:dyDescent="0.25">
      <c r="A4" s="97" t="s">
        <v>105</v>
      </c>
      <c r="B4" s="98">
        <v>65</v>
      </c>
      <c r="C4" s="97" t="s">
        <v>106</v>
      </c>
      <c r="D4" s="98">
        <v>50</v>
      </c>
      <c r="E4" s="99"/>
      <c r="F4" s="99"/>
      <c r="G4" s="99"/>
      <c r="H4" s="99"/>
      <c r="I4" s="99"/>
      <c r="J4" s="99"/>
      <c r="K4" s="96"/>
    </row>
    <row r="5" spans="1:11" ht="15.75" x14ac:dyDescent="0.25">
      <c r="A5" s="97" t="s">
        <v>107</v>
      </c>
      <c r="B5" s="98">
        <v>25</v>
      </c>
      <c r="C5" s="97" t="s">
        <v>108</v>
      </c>
      <c r="D5" s="98" t="s">
        <v>121</v>
      </c>
      <c r="E5" s="99"/>
      <c r="F5" s="99"/>
      <c r="G5" s="99"/>
      <c r="H5" s="99"/>
      <c r="I5" s="99"/>
      <c r="J5" s="99"/>
      <c r="K5" s="96"/>
    </row>
    <row r="6" spans="1:11" ht="16.5" thickBot="1" x14ac:dyDescent="0.3">
      <c r="A6" s="106"/>
      <c r="B6" s="111"/>
      <c r="C6" s="131"/>
      <c r="D6" s="132"/>
      <c r="E6" s="132"/>
      <c r="F6" s="132"/>
      <c r="G6" s="132"/>
      <c r="H6" s="132"/>
      <c r="I6" s="133" t="s">
        <v>103</v>
      </c>
      <c r="J6" s="133"/>
      <c r="K6" s="134"/>
    </row>
    <row r="7" spans="1:11" ht="65.25" customHeight="1" thickBot="1" x14ac:dyDescent="0.3">
      <c r="A7" s="135" t="s">
        <v>109</v>
      </c>
      <c r="B7" s="137" t="s">
        <v>110</v>
      </c>
      <c r="C7" s="138"/>
      <c r="D7" s="137" t="s">
        <v>111</v>
      </c>
      <c r="E7" s="139"/>
      <c r="F7" s="139"/>
      <c r="G7" s="138"/>
      <c r="H7" s="140" t="s">
        <v>112</v>
      </c>
      <c r="I7" s="141"/>
      <c r="J7" s="141"/>
      <c r="K7" s="142"/>
    </row>
    <row r="8" spans="1:11" ht="48" thickBot="1" x14ac:dyDescent="0.3">
      <c r="A8" s="136"/>
      <c r="B8" s="101" t="s">
        <v>113</v>
      </c>
      <c r="C8" s="101" t="s">
        <v>114</v>
      </c>
      <c r="D8" s="101" t="s">
        <v>113</v>
      </c>
      <c r="E8" s="102" t="s">
        <v>115</v>
      </c>
      <c r="F8" s="101" t="s">
        <v>116</v>
      </c>
      <c r="G8" s="101" t="s">
        <v>114</v>
      </c>
      <c r="H8" s="101" t="s">
        <v>117</v>
      </c>
      <c r="I8" s="101" t="s">
        <v>118</v>
      </c>
      <c r="J8" s="101" t="s">
        <v>116</v>
      </c>
      <c r="K8" s="103" t="s">
        <v>32</v>
      </c>
    </row>
    <row r="9" spans="1:11" ht="16.5" thickBot="1" x14ac:dyDescent="0.3">
      <c r="A9" s="104">
        <f>IF(B4="",0,B4)</f>
        <v>65</v>
      </c>
      <c r="B9" s="105">
        <f>Master!AB4</f>
        <v>15690</v>
      </c>
      <c r="C9" s="105">
        <f>IF(B4="",0,$B$3)</f>
        <v>500000</v>
      </c>
      <c r="D9" s="105">
        <f>Master!AB4</f>
        <v>15690</v>
      </c>
      <c r="E9" s="118">
        <v>0</v>
      </c>
      <c r="F9" s="105">
        <f>Master!AB4</f>
        <v>15690</v>
      </c>
      <c r="G9" s="105">
        <f>IF(B4="",0,$B$3)</f>
        <v>500000</v>
      </c>
      <c r="H9" s="119">
        <f>IF(Master!$V$4="Available floater combinations - 1A1C, 1A2C, 2A, 2A1C or 2A2C","Available floater combinations - 1A1C, 1A2C, 2A, 2A1C or 2A2C",ROUND(Master!Z10,0))</f>
        <v>37445</v>
      </c>
      <c r="I9" s="120">
        <f>IF(Master!$V$4="Available floater combinations - 1A1C, 1A2C, 2A, 2A1C or 2A2C",0%,Master!$AB$23)</f>
        <v>0.2</v>
      </c>
      <c r="J9" s="119">
        <f>IF(Master!$V$4="Available floater combinations - 1A1C, 1A2C, 2A, 2A1C or 2A2C",0,Master!$AB$10)</f>
        <v>29956</v>
      </c>
      <c r="K9" s="119">
        <f>IF(Master!$V$4="Available floater combinations - 1A1C, 1A2C, 2A, 2A1C or 2A2C",0,B3)</f>
        <v>500000</v>
      </c>
    </row>
    <row r="10" spans="1:11" ht="16.5" thickBot="1" x14ac:dyDescent="0.3">
      <c r="A10" s="104">
        <f>IF(D4="",0,D4)</f>
        <v>50</v>
      </c>
      <c r="B10" s="105">
        <f>Master!AB5</f>
        <v>11465</v>
      </c>
      <c r="C10" s="105">
        <f>IF(D4="",0,$B$3)</f>
        <v>500000</v>
      </c>
      <c r="D10" s="105">
        <f>Master!AB5</f>
        <v>11465</v>
      </c>
      <c r="E10" s="118"/>
      <c r="F10" s="105">
        <f>Master!AB5</f>
        <v>11465</v>
      </c>
      <c r="G10" s="105">
        <f>IF(D4="",0,$B$3)</f>
        <v>500000</v>
      </c>
      <c r="H10" s="119"/>
      <c r="I10" s="120"/>
      <c r="J10" s="119"/>
      <c r="K10" s="119"/>
    </row>
    <row r="11" spans="1:11" ht="16.5" thickBot="1" x14ac:dyDescent="0.3">
      <c r="A11" s="104">
        <f>IF(B5="",0,B5)</f>
        <v>25</v>
      </c>
      <c r="B11" s="105">
        <f>Master!AB6</f>
        <v>5145</v>
      </c>
      <c r="C11" s="105">
        <f>IF(B5="",0,$B$3)</f>
        <v>500000</v>
      </c>
      <c r="D11" s="105">
        <f>Master!AB6</f>
        <v>5145</v>
      </c>
      <c r="E11" s="118"/>
      <c r="F11" s="105">
        <f>Master!AB6</f>
        <v>5145</v>
      </c>
      <c r="G11" s="105">
        <f>IF(B5="",0,$B$3)</f>
        <v>500000</v>
      </c>
      <c r="H11" s="119"/>
      <c r="I11" s="120"/>
      <c r="J11" s="119"/>
      <c r="K11" s="119"/>
    </row>
    <row r="12" spans="1:11" ht="16.5" thickBot="1" x14ac:dyDescent="0.3">
      <c r="A12" s="104" t="str">
        <f>IF(D5="",0,D5)</f>
        <v>0-11 Months</v>
      </c>
      <c r="B12" s="105">
        <f>Master!AB7</f>
        <v>5145</v>
      </c>
      <c r="C12" s="105">
        <f>IF(D5="",0,$B$3)</f>
        <v>500000</v>
      </c>
      <c r="D12" s="105">
        <f>Master!AB7</f>
        <v>5145</v>
      </c>
      <c r="E12" s="118"/>
      <c r="F12" s="105">
        <f>Master!AB7</f>
        <v>5145</v>
      </c>
      <c r="G12" s="105">
        <f>IF(D5="",0,$B$3)</f>
        <v>500000</v>
      </c>
      <c r="H12" s="119"/>
      <c r="I12" s="120"/>
      <c r="J12" s="119"/>
      <c r="K12" s="119"/>
    </row>
    <row r="13" spans="1:11" ht="16.5" thickBot="1" x14ac:dyDescent="0.3">
      <c r="A13" s="121" t="str">
        <f>Master!AE4</f>
        <v>Total Premium for all members of the family is, Rs 37445 (excluding GST) when each member is covered separately.</v>
      </c>
      <c r="B13" s="122"/>
      <c r="C13" s="123"/>
      <c r="D13" s="121" t="str">
        <f>Master!AF4</f>
        <v>Total Premium for all members of the family is, Rs 37445 (excluding GST)  when they are covered under a single policy</v>
      </c>
      <c r="E13" s="122"/>
      <c r="F13" s="122"/>
      <c r="G13" s="123"/>
      <c r="H13" s="124" t="str">
        <f>Master!AG4</f>
        <v>Total Premium when policy is opted on floater basis is, Rs 29956 excluding GST</v>
      </c>
      <c r="I13" s="122"/>
      <c r="J13" s="122"/>
      <c r="K13" s="123"/>
    </row>
    <row r="14" spans="1:11" x14ac:dyDescent="0.3">
      <c r="A14" s="112" t="str">
        <f>Master!AE5</f>
        <v>Sum insured available for each individual is Rs. 500000</v>
      </c>
      <c r="B14" s="113"/>
      <c r="C14" s="114"/>
      <c r="D14" s="112" t="str">
        <f>Master!AF5</f>
        <v>Sum insured available for each family member is Rs. 500000</v>
      </c>
      <c r="E14" s="113"/>
      <c r="F14" s="113"/>
      <c r="G14" s="114"/>
      <c r="H14" s="115" t="str">
        <f>Master!AG5</f>
        <v>Sum insured of Rs. 500000 is available for the entire family.</v>
      </c>
      <c r="I14" s="116"/>
      <c r="J14" s="116"/>
      <c r="K14" s="117"/>
    </row>
  </sheetData>
  <sheetProtection algorithmName="SHA-512" hashValue="N2ocY6LYCe09bMmIJQdPcJ6ymQa9tQEifA9+EEd4359bBoqobhMzHN+FiAWmzihZTcOGL400AiFG4FB8tmjscw==" saltValue="mVEHlJ6UJPMltyNL9tOHhQ==" spinCount="100000" sheet="1" objects="1" scenarios="1"/>
  <mergeCells count="20">
    <mergeCell ref="A1:K1"/>
    <mergeCell ref="A2:K2"/>
    <mergeCell ref="C6:H6"/>
    <mergeCell ref="I6:K6"/>
    <mergeCell ref="A7:A8"/>
    <mergeCell ref="B7:C7"/>
    <mergeCell ref="D7:G7"/>
    <mergeCell ref="H7:K7"/>
    <mergeCell ref="C3:D3"/>
    <mergeCell ref="A14:C14"/>
    <mergeCell ref="D14:G14"/>
    <mergeCell ref="H14:K14"/>
    <mergeCell ref="E9:E12"/>
    <mergeCell ref="H9:H12"/>
    <mergeCell ref="I9:I12"/>
    <mergeCell ref="J9:J12"/>
    <mergeCell ref="K9:K12"/>
    <mergeCell ref="A13:C13"/>
    <mergeCell ref="D13:G13"/>
    <mergeCell ref="H13:K13"/>
  </mergeCells>
  <conditionalFormatting sqref="H9:H12">
    <cfRule type="cellIs" dxfId="2" priority="3" operator="equal">
      <formula>"Available floater combinations - 1A1C, 1A2C, 2A, 2A1C or 2A2C"</formula>
    </cfRule>
  </conditionalFormatting>
  <conditionalFormatting sqref="C6">
    <cfRule type="cellIs" dxfId="1" priority="2" operator="equal">
      <formula>"Plan &amp; Sum Insured Mismatch! Select available amount from Sum Insured dropdown"</formula>
    </cfRule>
  </conditionalFormatting>
  <conditionalFormatting sqref="H8">
    <cfRule type="cellIs" dxfId="0" priority="1" operator="equal">
      <formula>"Available floater combinations - 1A1C, 1A2C, 1A3C, 2A, 2A1C, 2A2C or 2A3C"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18486A9-A054-4634-B95E-7A04DC00ADF1}">
          <x14:formula1>
            <xm:f>'Drop down lists'!$A$2:$A$11</xm:f>
          </x14:formula1>
          <xm:sqref>B3</xm:sqref>
        </x14:dataValidation>
        <x14:dataValidation type="list" allowBlank="1" showInputMessage="1" showErrorMessage="1" xr:uid="{37C15DDA-1CAA-42EF-BDE3-ADD77C94F32E}">
          <x14:formula1>
            <xm:f>'Drop down lists'!$F$2:$F$3</xm:f>
          </x14:formula1>
          <xm:sqref>E3</xm:sqref>
        </x14:dataValidation>
        <x14:dataValidation type="list" allowBlank="1" showInputMessage="1" showErrorMessage="1" xr:uid="{09BBC1FF-C293-4DAC-A2A8-EB0460B9A166}">
          <x14:formula1>
            <xm:f>'Drop down lists'!$M$2:$M$4</xm:f>
          </x14:formula1>
          <xm:sqref>G3</xm:sqref>
        </x14:dataValidation>
        <x14:dataValidation type="list" allowBlank="1" showInputMessage="1" showErrorMessage="1" xr:uid="{B01B618F-4161-4E85-96A9-0C83ABB6FA05}">
          <x14:formula1>
            <xm:f>'Drop down lists'!$P$20:$P$67</xm:f>
          </x14:formula1>
          <xm:sqref>B4 D4</xm:sqref>
        </x14:dataValidation>
        <x14:dataValidation type="list" allowBlank="1" showInputMessage="1" showErrorMessage="1" xr:uid="{ABB1C703-C88E-47DD-A6EA-D7A4200B0484}">
          <x14:formula1>
            <xm:f>'Drop down lists'!$P$2:$P$27</xm:f>
          </x14:formula1>
          <xm:sqref>B5 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7"/>
  <sheetViews>
    <sheetView topLeftCell="F13" workbookViewId="0">
      <selection activeCell="P2" sqref="P2"/>
    </sheetView>
  </sheetViews>
  <sheetFormatPr defaultRowHeight="15" x14ac:dyDescent="0.25"/>
  <cols>
    <col min="1" max="1" width="12" bestFit="1" customWidth="1"/>
    <col min="3" max="3" width="14.5703125" bestFit="1" customWidth="1"/>
    <col min="4" max="4" width="15.5703125" bestFit="1" customWidth="1"/>
    <col min="5" max="5" width="16.42578125" bestFit="1" customWidth="1"/>
    <col min="13" max="13" width="13.140625" bestFit="1" customWidth="1"/>
    <col min="14" max="14" width="50.85546875" bestFit="1" customWidth="1"/>
  </cols>
  <sheetData>
    <row r="1" spans="1:16" x14ac:dyDescent="0.25">
      <c r="A1" t="s">
        <v>5</v>
      </c>
      <c r="B1" t="s">
        <v>56</v>
      </c>
      <c r="C1" t="s">
        <v>1</v>
      </c>
      <c r="D1" t="s">
        <v>71</v>
      </c>
      <c r="E1" t="s">
        <v>72</v>
      </c>
      <c r="I1" t="s">
        <v>39</v>
      </c>
      <c r="J1" t="s">
        <v>39</v>
      </c>
      <c r="K1" t="s">
        <v>77</v>
      </c>
      <c r="L1" t="s">
        <v>79</v>
      </c>
      <c r="M1" s="16" t="s">
        <v>75</v>
      </c>
      <c r="N1" s="16" t="s">
        <v>76</v>
      </c>
      <c r="O1" t="s">
        <v>76</v>
      </c>
      <c r="P1" t="s">
        <v>4</v>
      </c>
    </row>
    <row r="2" spans="1:16" x14ac:dyDescent="0.25">
      <c r="A2" s="107">
        <v>50000</v>
      </c>
      <c r="B2">
        <v>1</v>
      </c>
      <c r="C2">
        <v>0</v>
      </c>
      <c r="F2" t="s">
        <v>120</v>
      </c>
      <c r="I2" s="17">
        <v>0</v>
      </c>
      <c r="J2" t="s">
        <v>21</v>
      </c>
      <c r="K2" t="s">
        <v>78</v>
      </c>
      <c r="M2" t="s">
        <v>83</v>
      </c>
      <c r="N2" t="s">
        <v>87</v>
      </c>
      <c r="O2" t="s">
        <v>99</v>
      </c>
      <c r="P2" t="s">
        <v>121</v>
      </c>
    </row>
    <row r="3" spans="1:16" x14ac:dyDescent="0.25">
      <c r="A3" s="107">
        <v>100000</v>
      </c>
      <c r="B3">
        <v>2</v>
      </c>
      <c r="C3">
        <v>1</v>
      </c>
      <c r="D3" t="s">
        <v>57</v>
      </c>
      <c r="E3" t="s">
        <v>57</v>
      </c>
      <c r="F3" t="s">
        <v>0</v>
      </c>
      <c r="G3" t="s">
        <v>57</v>
      </c>
      <c r="I3" s="17">
        <v>0.05</v>
      </c>
      <c r="M3" t="s">
        <v>84</v>
      </c>
      <c r="N3" t="s">
        <v>88</v>
      </c>
      <c r="O3" t="s">
        <v>91</v>
      </c>
      <c r="P3">
        <v>1</v>
      </c>
    </row>
    <row r="4" spans="1:16" x14ac:dyDescent="0.25">
      <c r="A4" s="107">
        <v>150000</v>
      </c>
      <c r="B4">
        <v>3</v>
      </c>
      <c r="C4">
        <v>2</v>
      </c>
      <c r="D4" t="s">
        <v>58</v>
      </c>
      <c r="E4" t="s">
        <v>58</v>
      </c>
      <c r="G4" t="s">
        <v>58</v>
      </c>
      <c r="I4" s="17">
        <v>0.1</v>
      </c>
      <c r="M4" t="s">
        <v>85</v>
      </c>
      <c r="N4" t="s">
        <v>89</v>
      </c>
      <c r="O4" t="s">
        <v>100</v>
      </c>
      <c r="P4">
        <v>2</v>
      </c>
    </row>
    <row r="5" spans="1:16" x14ac:dyDescent="0.25">
      <c r="A5" s="107">
        <v>200000</v>
      </c>
      <c r="B5">
        <v>4</v>
      </c>
      <c r="C5">
        <v>3</v>
      </c>
      <c r="D5" t="s">
        <v>59</v>
      </c>
      <c r="E5" t="s">
        <v>59</v>
      </c>
      <c r="G5" t="s">
        <v>61</v>
      </c>
      <c r="I5" s="17">
        <v>0.15</v>
      </c>
      <c r="N5" t="s">
        <v>90</v>
      </c>
      <c r="O5" t="s">
        <v>101</v>
      </c>
      <c r="P5">
        <v>3</v>
      </c>
    </row>
    <row r="6" spans="1:16" x14ac:dyDescent="0.25">
      <c r="A6" s="107">
        <v>250000</v>
      </c>
      <c r="B6">
        <v>5</v>
      </c>
      <c r="C6">
        <v>4</v>
      </c>
      <c r="D6" t="s">
        <v>60</v>
      </c>
      <c r="E6" t="s">
        <v>60</v>
      </c>
      <c r="G6" t="s">
        <v>62</v>
      </c>
      <c r="I6" s="17">
        <v>0.2</v>
      </c>
      <c r="N6" t="s">
        <v>91</v>
      </c>
      <c r="O6" t="s">
        <v>102</v>
      </c>
      <c r="P6">
        <v>4</v>
      </c>
    </row>
    <row r="7" spans="1:16" x14ac:dyDescent="0.25">
      <c r="A7" s="107">
        <v>300000</v>
      </c>
      <c r="D7" t="s">
        <v>62</v>
      </c>
      <c r="E7" t="s">
        <v>61</v>
      </c>
      <c r="G7" t="s">
        <v>63</v>
      </c>
      <c r="I7" s="17">
        <v>0.25</v>
      </c>
      <c r="N7" t="s">
        <v>92</v>
      </c>
      <c r="P7">
        <v>5</v>
      </c>
    </row>
    <row r="8" spans="1:16" x14ac:dyDescent="0.25">
      <c r="A8" s="107">
        <v>350000</v>
      </c>
      <c r="D8" t="s">
        <v>61</v>
      </c>
      <c r="E8" t="s">
        <v>62</v>
      </c>
      <c r="G8" t="s">
        <v>64</v>
      </c>
      <c r="I8" s="17">
        <v>0.3</v>
      </c>
      <c r="N8" t="s">
        <v>93</v>
      </c>
      <c r="P8">
        <v>6</v>
      </c>
    </row>
    <row r="9" spans="1:16" x14ac:dyDescent="0.25">
      <c r="A9" s="107">
        <v>400000</v>
      </c>
      <c r="D9" t="s">
        <v>66</v>
      </c>
      <c r="E9" t="s">
        <v>65</v>
      </c>
      <c r="G9" t="s">
        <v>65</v>
      </c>
      <c r="I9" s="17">
        <v>0.35</v>
      </c>
      <c r="N9" t="s">
        <v>94</v>
      </c>
      <c r="P9">
        <v>7</v>
      </c>
    </row>
    <row r="10" spans="1:16" x14ac:dyDescent="0.25">
      <c r="A10" s="107">
        <v>450000</v>
      </c>
      <c r="D10" t="s">
        <v>65</v>
      </c>
      <c r="E10" t="s">
        <v>66</v>
      </c>
      <c r="G10" t="s">
        <v>66</v>
      </c>
      <c r="I10" s="17">
        <v>0.4</v>
      </c>
      <c r="N10" t="s">
        <v>95</v>
      </c>
      <c r="P10">
        <v>8</v>
      </c>
    </row>
    <row r="11" spans="1:16" x14ac:dyDescent="0.25">
      <c r="A11" s="107">
        <v>500000</v>
      </c>
      <c r="G11" t="s">
        <v>67</v>
      </c>
      <c r="I11" s="17">
        <v>0.45</v>
      </c>
      <c r="N11" t="s">
        <v>96</v>
      </c>
      <c r="P11">
        <v>9</v>
      </c>
    </row>
    <row r="12" spans="1:16" x14ac:dyDescent="0.25">
      <c r="G12" t="s">
        <v>68</v>
      </c>
      <c r="I12" s="17">
        <v>0.5</v>
      </c>
      <c r="N12" t="s">
        <v>97</v>
      </c>
      <c r="P12">
        <v>10</v>
      </c>
    </row>
    <row r="13" spans="1:16" x14ac:dyDescent="0.25">
      <c r="G13" t="s">
        <v>69</v>
      </c>
      <c r="I13" s="17">
        <v>0.6</v>
      </c>
      <c r="P13">
        <v>11</v>
      </c>
    </row>
    <row r="14" spans="1:16" x14ac:dyDescent="0.25">
      <c r="G14" t="s">
        <v>70</v>
      </c>
      <c r="I14" s="17">
        <v>0.7</v>
      </c>
      <c r="P14">
        <v>12</v>
      </c>
    </row>
    <row r="15" spans="1:16" x14ac:dyDescent="0.25">
      <c r="I15" s="17">
        <v>0.8</v>
      </c>
      <c r="P15">
        <v>13</v>
      </c>
    </row>
    <row r="16" spans="1:16" x14ac:dyDescent="0.25">
      <c r="I16" s="17">
        <v>0.9</v>
      </c>
      <c r="P16">
        <v>14</v>
      </c>
    </row>
    <row r="17" spans="9:16" x14ac:dyDescent="0.25">
      <c r="I17" s="17">
        <v>1</v>
      </c>
      <c r="P17">
        <v>15</v>
      </c>
    </row>
    <row r="18" spans="9:16" x14ac:dyDescent="0.25">
      <c r="P18">
        <v>16</v>
      </c>
    </row>
    <row r="19" spans="9:16" x14ac:dyDescent="0.25">
      <c r="P19">
        <v>17</v>
      </c>
    </row>
    <row r="20" spans="9:16" x14ac:dyDescent="0.25">
      <c r="P20">
        <v>18</v>
      </c>
    </row>
    <row r="21" spans="9:16" x14ac:dyDescent="0.25">
      <c r="P21">
        <v>19</v>
      </c>
    </row>
    <row r="22" spans="9:16" x14ac:dyDescent="0.25">
      <c r="P22">
        <v>20</v>
      </c>
    </row>
    <row r="23" spans="9:16" x14ac:dyDescent="0.25">
      <c r="P23">
        <v>21</v>
      </c>
    </row>
    <row r="24" spans="9:16" x14ac:dyDescent="0.25">
      <c r="P24">
        <v>22</v>
      </c>
    </row>
    <row r="25" spans="9:16" x14ac:dyDescent="0.25">
      <c r="P25">
        <v>23</v>
      </c>
    </row>
    <row r="26" spans="9:16" x14ac:dyDescent="0.25">
      <c r="P26">
        <v>24</v>
      </c>
    </row>
    <row r="27" spans="9:16" x14ac:dyDescent="0.25">
      <c r="P27">
        <v>25</v>
      </c>
    </row>
    <row r="28" spans="9:16" x14ac:dyDescent="0.25">
      <c r="P28">
        <v>26</v>
      </c>
    </row>
    <row r="29" spans="9:16" x14ac:dyDescent="0.25">
      <c r="P29">
        <v>27</v>
      </c>
    </row>
    <row r="30" spans="9:16" x14ac:dyDescent="0.25">
      <c r="P30">
        <v>28</v>
      </c>
    </row>
    <row r="31" spans="9:16" x14ac:dyDescent="0.25">
      <c r="P31">
        <v>29</v>
      </c>
    </row>
    <row r="32" spans="9:16" x14ac:dyDescent="0.25">
      <c r="P32">
        <v>30</v>
      </c>
    </row>
    <row r="33" spans="16:16" x14ac:dyDescent="0.25">
      <c r="P33">
        <v>31</v>
      </c>
    </row>
    <row r="34" spans="16:16" x14ac:dyDescent="0.25">
      <c r="P34">
        <v>32</v>
      </c>
    </row>
    <row r="35" spans="16:16" x14ac:dyDescent="0.25">
      <c r="P35">
        <v>33</v>
      </c>
    </row>
    <row r="36" spans="16:16" x14ac:dyDescent="0.25">
      <c r="P36">
        <v>34</v>
      </c>
    </row>
    <row r="37" spans="16:16" x14ac:dyDescent="0.25">
      <c r="P37">
        <v>35</v>
      </c>
    </row>
    <row r="38" spans="16:16" x14ac:dyDescent="0.25">
      <c r="P38">
        <v>36</v>
      </c>
    </row>
    <row r="39" spans="16:16" x14ac:dyDescent="0.25">
      <c r="P39">
        <v>37</v>
      </c>
    </row>
    <row r="40" spans="16:16" x14ac:dyDescent="0.25">
      <c r="P40">
        <v>38</v>
      </c>
    </row>
    <row r="41" spans="16:16" x14ac:dyDescent="0.25">
      <c r="P41">
        <v>39</v>
      </c>
    </row>
    <row r="42" spans="16:16" x14ac:dyDescent="0.25">
      <c r="P42">
        <v>40</v>
      </c>
    </row>
    <row r="43" spans="16:16" x14ac:dyDescent="0.25">
      <c r="P43">
        <v>41</v>
      </c>
    </row>
    <row r="44" spans="16:16" x14ac:dyDescent="0.25">
      <c r="P44">
        <v>42</v>
      </c>
    </row>
    <row r="45" spans="16:16" x14ac:dyDescent="0.25">
      <c r="P45">
        <v>43</v>
      </c>
    </row>
    <row r="46" spans="16:16" x14ac:dyDescent="0.25">
      <c r="P46">
        <v>44</v>
      </c>
    </row>
    <row r="47" spans="16:16" x14ac:dyDescent="0.25">
      <c r="P47">
        <v>45</v>
      </c>
    </row>
    <row r="48" spans="16:16" x14ac:dyDescent="0.25">
      <c r="P48">
        <v>46</v>
      </c>
    </row>
    <row r="49" spans="16:16" x14ac:dyDescent="0.25">
      <c r="P49">
        <v>47</v>
      </c>
    </row>
    <row r="50" spans="16:16" x14ac:dyDescent="0.25">
      <c r="P50">
        <v>48</v>
      </c>
    </row>
    <row r="51" spans="16:16" x14ac:dyDescent="0.25">
      <c r="P51">
        <v>49</v>
      </c>
    </row>
    <row r="52" spans="16:16" x14ac:dyDescent="0.25">
      <c r="P52">
        <v>50</v>
      </c>
    </row>
    <row r="53" spans="16:16" x14ac:dyDescent="0.25">
      <c r="P53">
        <v>51</v>
      </c>
    </row>
    <row r="54" spans="16:16" x14ac:dyDescent="0.25">
      <c r="P54">
        <v>52</v>
      </c>
    </row>
    <row r="55" spans="16:16" x14ac:dyDescent="0.25">
      <c r="P55">
        <v>53</v>
      </c>
    </row>
    <row r="56" spans="16:16" x14ac:dyDescent="0.25">
      <c r="P56">
        <v>54</v>
      </c>
    </row>
    <row r="57" spans="16:16" x14ac:dyDescent="0.25">
      <c r="P57">
        <v>55</v>
      </c>
    </row>
    <row r="58" spans="16:16" x14ac:dyDescent="0.25">
      <c r="P58">
        <v>56</v>
      </c>
    </row>
    <row r="59" spans="16:16" x14ac:dyDescent="0.25">
      <c r="P59">
        <v>57</v>
      </c>
    </row>
    <row r="60" spans="16:16" x14ac:dyDescent="0.25">
      <c r="P60">
        <v>58</v>
      </c>
    </row>
    <row r="61" spans="16:16" x14ac:dyDescent="0.25">
      <c r="P61">
        <v>59</v>
      </c>
    </row>
    <row r="62" spans="16:16" x14ac:dyDescent="0.25">
      <c r="P62">
        <v>60</v>
      </c>
    </row>
    <row r="63" spans="16:16" x14ac:dyDescent="0.25">
      <c r="P63">
        <v>61</v>
      </c>
    </row>
    <row r="64" spans="16:16" x14ac:dyDescent="0.25">
      <c r="P64">
        <v>62</v>
      </c>
    </row>
    <row r="65" spans="16:16" x14ac:dyDescent="0.25">
      <c r="P65">
        <v>63</v>
      </c>
    </row>
    <row r="66" spans="16:16" x14ac:dyDescent="0.25">
      <c r="P66">
        <v>64</v>
      </c>
    </row>
    <row r="67" spans="16:16" x14ac:dyDescent="0.25">
      <c r="P67">
        <v>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AN108"/>
  <sheetViews>
    <sheetView topLeftCell="N1" zoomScaleNormal="100" workbookViewId="0">
      <selection activeCell="W7" sqref="W7"/>
    </sheetView>
  </sheetViews>
  <sheetFormatPr defaultRowHeight="15" x14ac:dyDescent="0.25"/>
  <cols>
    <col min="1" max="1" width="13.42578125" style="1" bestFit="1" customWidth="1"/>
    <col min="2" max="2" width="16.42578125" style="1" bestFit="1" customWidth="1"/>
    <col min="3" max="3" width="7.5703125" style="1" customWidth="1"/>
    <col min="4" max="4" width="9.7109375" style="1" customWidth="1"/>
    <col min="5" max="5" width="8.42578125" style="1" customWidth="1"/>
    <col min="6" max="12" width="10.5703125" style="1" bestFit="1" customWidth="1"/>
    <col min="13" max="13" width="24.42578125" style="1" bestFit="1" customWidth="1"/>
    <col min="14" max="14" width="17.140625" style="1" bestFit="1" customWidth="1"/>
    <col min="15" max="16" width="17.7109375" style="1" bestFit="1" customWidth="1"/>
    <col min="17" max="19" width="17.7109375" style="1" customWidth="1"/>
    <col min="20" max="22" width="16.140625" style="1" bestFit="1" customWidth="1"/>
    <col min="23" max="23" width="11.28515625" style="1" customWidth="1"/>
    <col min="24" max="24" width="16.140625" style="1" bestFit="1" customWidth="1"/>
    <col min="25" max="25" width="17.85546875" style="1" bestFit="1" customWidth="1"/>
    <col min="26" max="26" width="11.140625" style="1" bestFit="1" customWidth="1"/>
    <col min="27" max="27" width="12.7109375" style="1" customWidth="1"/>
    <col min="28" max="28" width="12" style="1" customWidth="1"/>
    <col min="29" max="32" width="15.28515625" style="1" customWidth="1"/>
    <col min="33" max="33" width="15.140625" style="1" bestFit="1" customWidth="1"/>
    <col min="34" max="35" width="10" style="1" bestFit="1" customWidth="1"/>
    <col min="36" max="36" width="27.140625" style="1" bestFit="1" customWidth="1"/>
    <col min="37" max="37" width="10" style="1" bestFit="1" customWidth="1"/>
    <col min="38" max="38" width="14" style="1" bestFit="1" customWidth="1"/>
    <col min="39" max="16384" width="9.140625" style="1"/>
  </cols>
  <sheetData>
    <row r="2" spans="1:40" x14ac:dyDescent="0.25">
      <c r="A2" s="16" t="s">
        <v>75</v>
      </c>
      <c r="B2" s="16" t="s">
        <v>80</v>
      </c>
      <c r="U2" s="16" t="s">
        <v>17</v>
      </c>
      <c r="AG2" s="68"/>
      <c r="AH2" s="68"/>
      <c r="AI2" s="68"/>
      <c r="AJ2" s="68"/>
      <c r="AK2" s="68"/>
      <c r="AL2" s="68"/>
    </row>
    <row r="3" spans="1:40" ht="30" x14ac:dyDescent="0.25">
      <c r="A3" s="92" t="s">
        <v>6</v>
      </c>
      <c r="B3" s="80" t="s">
        <v>7</v>
      </c>
      <c r="C3" s="80" t="s">
        <v>8</v>
      </c>
      <c r="D3" s="80" t="s">
        <v>9</v>
      </c>
      <c r="E3" s="80" t="s">
        <v>10</v>
      </c>
      <c r="F3" s="80" t="s">
        <v>11</v>
      </c>
      <c r="G3" s="80" t="s">
        <v>12</v>
      </c>
      <c r="H3" s="80" t="s">
        <v>13</v>
      </c>
      <c r="I3" s="80" t="s">
        <v>14</v>
      </c>
      <c r="J3" s="80" t="s">
        <v>15</v>
      </c>
      <c r="K3" s="80" t="s">
        <v>16</v>
      </c>
      <c r="L3" s="80" t="s">
        <v>74</v>
      </c>
      <c r="P3" s="1" t="s">
        <v>6</v>
      </c>
      <c r="Q3" s="30" t="s">
        <v>83</v>
      </c>
      <c r="R3" s="30" t="s">
        <v>84</v>
      </c>
      <c r="S3" s="30" t="s">
        <v>85</v>
      </c>
      <c r="U3" s="35" t="s">
        <v>2</v>
      </c>
      <c r="V3" s="35" t="s">
        <v>3</v>
      </c>
      <c r="W3" s="35" t="s">
        <v>18</v>
      </c>
      <c r="X3" s="35" t="s">
        <v>19</v>
      </c>
      <c r="Y3" s="35" t="s">
        <v>32</v>
      </c>
      <c r="Z3" s="36" t="s">
        <v>20</v>
      </c>
      <c r="AA3" s="36" t="s">
        <v>86</v>
      </c>
      <c r="AB3" s="22" t="s">
        <v>40</v>
      </c>
      <c r="AC3" s="23" t="s">
        <v>48</v>
      </c>
      <c r="AD3" s="23" t="s">
        <v>53</v>
      </c>
      <c r="AE3" s="23"/>
      <c r="AF3" s="23"/>
      <c r="AG3" s="23"/>
      <c r="AI3" s="11" t="s">
        <v>49</v>
      </c>
      <c r="AJ3" s="11" t="s">
        <v>0</v>
      </c>
      <c r="AK3" s="11" t="str">
        <f>$AI$3&amp;AJ3</f>
        <v>IndividualNo</v>
      </c>
    </row>
    <row r="4" spans="1:40" x14ac:dyDescent="0.25">
      <c r="A4" s="92">
        <v>50000</v>
      </c>
      <c r="B4" s="91">
        <v>509</v>
      </c>
      <c r="C4" s="91">
        <v>519</v>
      </c>
      <c r="D4" s="91">
        <v>527</v>
      </c>
      <c r="E4" s="91">
        <v>544</v>
      </c>
      <c r="F4" s="91">
        <v>553</v>
      </c>
      <c r="G4" s="91">
        <v>553</v>
      </c>
      <c r="H4" s="91">
        <v>560</v>
      </c>
      <c r="I4" s="91">
        <v>582</v>
      </c>
      <c r="J4" s="91">
        <v>586</v>
      </c>
      <c r="K4" s="91">
        <v>590</v>
      </c>
      <c r="L4" s="91">
        <v>595</v>
      </c>
      <c r="N4" s="12">
        <v>0</v>
      </c>
      <c r="O4" s="12">
        <v>25</v>
      </c>
      <c r="P4" s="95" t="s">
        <v>7</v>
      </c>
      <c r="Q4" s="13">
        <f>IFERROR(INDEX($A$3:$L$13,MATCH(Y4,$A$3:$A$13,0),MATCH(X4,$A$3:$L$3,0)),0)</f>
        <v>5119</v>
      </c>
      <c r="R4" s="13">
        <f>IFERROR(INDEX(Master!$A$16:$L$26,MATCH(Y4,Master!$A$16:$A$26,0),MATCH(X4,Master!$A$16:$L$16,0)),0)</f>
        <v>10237</v>
      </c>
      <c r="S4" s="13">
        <f>IFERROR(INDEX(Master!$A$29:$L$39,MATCH(Y4,Master!$A$29:$A$39,0),MATCH(X4,Master!A$29:L$29,0)),0)</f>
        <v>15356</v>
      </c>
      <c r="U4" s="37" t="e">
        <f>#REF!</f>
        <v>#REF!</v>
      </c>
      <c r="V4" s="148" t="str">
        <f>IF(AND(COUNT($W$4:$W$5)=1,COUNT($W$6:$W$7)=1),"1A1C",IF(AND(COUNT($W$4:$W$5)=1,COUNT($W$6:$W$7)=2),"1A2C",IF(AND(COUNT($W$4:$W$5)=2,COUNT($W$6:$W$7)=0),"2A",IF(AND(COUNT($W$4:$W$5)=2,COUNT($W$6:$W$7)=1),"2A1C",IF(AND(COUNT($W$4:$W$5)=2,COUNT($W$6:$W$8)=2),"2A2C","Available floater combinations - 1A1C, 1A2C, 2A, 2A1C or 2A2C")))))</f>
        <v>2A2C</v>
      </c>
      <c r="W4" s="108">
        <f>IF(Sheet1!B4="","",Sheet1!B4)</f>
        <v>65</v>
      </c>
      <c r="X4" s="39" t="str">
        <f>IFERROR(LOOKUP(W4,Master!$N$4:$P$14),0)</f>
        <v>61 years - 65 years</v>
      </c>
      <c r="Y4" s="21">
        <f>IF(W4="",0,Sheet1!$B$3)</f>
        <v>500000</v>
      </c>
      <c r="Z4" s="21">
        <f>IF(Sheet1!$G$3="3 1/2 Months",Master!Q4,IF(Sheet1!$G$3="6 1/2 Months",Master!R4,Master!S4))</f>
        <v>15356</v>
      </c>
      <c r="AA4" s="21">
        <f>IF(AND(Sheet1!$G$3="3 1/2 Months",Sheet1!$E$3="Yes"),Master!Q10,IF(AND(Sheet1!$G$3="6 1/2 Months",Sheet1!$E$3="Yes"),Master!R10,IF(AND(Sheet1!$G$3="9 1/2 Months",Sheet1!$E$3="Yes"),Master!S10,0)))</f>
        <v>334</v>
      </c>
      <c r="AB4" s="21">
        <f>SUM(Z4+AA4)</f>
        <v>15690</v>
      </c>
      <c r="AE4" t="str">
        <f>"Total Premium for all members of the family is, Rs"&amp;" "&amp;ROUND(AB9,0)&amp;" "&amp;"(excluding GST) when each member is covered separately."</f>
        <v>Total Premium for all members of the family is, Rs 37445 (excluding GST) when each member is covered separately.</v>
      </c>
      <c r="AF4" t="str">
        <f>"Total Premium for all members of the family is, Rs"&amp;" "&amp;ROUND(AB9,0)&amp;" "&amp;"(excluding GST)  when they are covered under a single policy"</f>
        <v>Total Premium for all members of the family is, Rs 37445 (excluding GST)  when they are covered under a single policy</v>
      </c>
      <c r="AG4" t="str">
        <f>IF($V$4="Available floater combinations - 1A1C, 1A2C, 2A, 2A1C or 2A2C","Total Premium when policy is opted on floater basis is, Rs"&amp;" "&amp;0&amp;" "&amp;"excluding GST","Total Premium when policy is opted on floater basis is, Rs"&amp;" "&amp;ROUND(AB10,0)&amp;" "&amp;"excluding GST")</f>
        <v>Total Premium when policy is opted on floater basis is, Rs 29956 excluding GST</v>
      </c>
      <c r="AH4" s="68"/>
      <c r="AI4" s="11" t="s">
        <v>31</v>
      </c>
      <c r="AJ4" s="2" t="s">
        <v>41</v>
      </c>
      <c r="AK4" s="11" t="str">
        <f t="shared" ref="AK4:AK6" si="0">$AI$3&amp;AJ4</f>
        <v>IndividualHalf_Yearly</v>
      </c>
      <c r="AM4" s="68"/>
      <c r="AN4" s="68"/>
    </row>
    <row r="5" spans="1:40" x14ac:dyDescent="0.25">
      <c r="A5" s="92">
        <v>100000</v>
      </c>
      <c r="B5" s="91">
        <v>777</v>
      </c>
      <c r="C5" s="91">
        <v>824</v>
      </c>
      <c r="D5" s="91">
        <v>859</v>
      </c>
      <c r="E5" s="91">
        <v>938</v>
      </c>
      <c r="F5" s="91">
        <v>979</v>
      </c>
      <c r="G5" s="91">
        <v>979</v>
      </c>
      <c r="H5" s="91">
        <v>1012</v>
      </c>
      <c r="I5" s="91">
        <v>1114</v>
      </c>
      <c r="J5" s="91">
        <v>1134</v>
      </c>
      <c r="K5" s="91">
        <v>1152</v>
      </c>
      <c r="L5" s="91">
        <v>1177</v>
      </c>
      <c r="N5" s="14">
        <v>26</v>
      </c>
      <c r="O5" s="14">
        <v>35</v>
      </c>
      <c r="P5" s="95" t="s">
        <v>8</v>
      </c>
      <c r="Q5" s="13">
        <f t="shared" ref="Q5:Q8" si="1">IFERROR(INDEX($A$3:$L$13,MATCH(Y5,$A$3:$A$13,0),MATCH(X5,$A$3:$L$3,0)),0)</f>
        <v>3724</v>
      </c>
      <c r="R5" s="13">
        <f>IFERROR(INDEX(Master!$A$16:$L$26,MATCH(Y5,Master!$A$16:$A$26,0),MATCH(X5,Master!$A$16:$L$16,0)),0)</f>
        <v>7449</v>
      </c>
      <c r="S5" s="13">
        <f>IFERROR(INDEX(Master!$A$29:$L$39,MATCH(Y5,Master!$A$29:$A$39,0),MATCH(X5,Master!A$29:L$29,0)),0)</f>
        <v>11173</v>
      </c>
      <c r="U5" s="37" t="e">
        <f>#REF!</f>
        <v>#REF!</v>
      </c>
      <c r="V5" s="148"/>
      <c r="W5" s="108">
        <f>IF(Sheet1!D4="","",Sheet1!D4)</f>
        <v>50</v>
      </c>
      <c r="X5" s="39" t="str">
        <f>IFERROR(LOOKUP(W5,Master!$N$4:$P$14),0)</f>
        <v>46 years - 50 years</v>
      </c>
      <c r="Y5" s="21">
        <f>IF(W5="",0,Sheet1!$B$3)</f>
        <v>500000</v>
      </c>
      <c r="Z5" s="21">
        <f>IF(Sheet1!$G$3="3 1/2 Months",Master!Q5,IF(Sheet1!$G$3="6 1/2 Months",Master!R5,Master!S5))</f>
        <v>11173</v>
      </c>
      <c r="AA5" s="21">
        <f>IF(AND(Sheet1!$G$3="3 1/2 Months",Sheet1!$E$3="Yes"),Master!Q11,IF(AND(Sheet1!$G$3="6 1/2 Months",Sheet1!$E$3="Yes"),Master!R11,IF(AND(Sheet1!$G$3="9 1/2 Months",Sheet1!$E$3="Yes"),Master!S11,0)))</f>
        <v>292</v>
      </c>
      <c r="AB5" s="21">
        <f t="shared" ref="AB5:AB8" si="2">SUM(Z5+AA5)</f>
        <v>11465</v>
      </c>
      <c r="AE5" t="str">
        <f>"Sum insured available for each individual is Rs."&amp;" "&amp;Sheet1!B3</f>
        <v>Sum insured available for each individual is Rs. 500000</v>
      </c>
      <c r="AF5" t="str">
        <f>"Sum insured available for each family member is Rs."&amp;" "&amp;Sheet1!B3</f>
        <v>Sum insured available for each family member is Rs. 500000</v>
      </c>
      <c r="AG5" t="str">
        <f>IF($V$4="Available floater combinations - 1A1C, 1A2C, 2A, 2A1C or 2A2C","Sum insured of Rs."&amp;" "&amp;0&amp;" "&amp;"is available for the entire family.","Sum insured of Rs."&amp;" "&amp;Sheet1!B3&amp;" "&amp;"is available for the entire family.")</f>
        <v>Sum insured of Rs. 500000 is available for the entire family.</v>
      </c>
      <c r="AH5" s="68"/>
      <c r="AI5" s="11"/>
      <c r="AJ5" s="2" t="s">
        <v>45</v>
      </c>
      <c r="AK5" s="11" t="str">
        <f t="shared" si="0"/>
        <v>IndividualQuarterly</v>
      </c>
      <c r="AM5" s="68"/>
    </row>
    <row r="6" spans="1:40" x14ac:dyDescent="0.25">
      <c r="A6" s="92">
        <v>150000</v>
      </c>
      <c r="B6" s="91">
        <v>979</v>
      </c>
      <c r="C6" s="91">
        <v>1071</v>
      </c>
      <c r="D6" s="91">
        <v>1138</v>
      </c>
      <c r="E6" s="91">
        <v>1291</v>
      </c>
      <c r="F6" s="91">
        <v>1372</v>
      </c>
      <c r="G6" s="91">
        <v>1372</v>
      </c>
      <c r="H6" s="91">
        <v>1435</v>
      </c>
      <c r="I6" s="91">
        <v>1634</v>
      </c>
      <c r="J6" s="91">
        <v>1673</v>
      </c>
      <c r="K6" s="91">
        <v>1706</v>
      </c>
      <c r="L6" s="91">
        <v>1754</v>
      </c>
      <c r="N6" s="14">
        <v>36</v>
      </c>
      <c r="O6" s="14">
        <v>40</v>
      </c>
      <c r="P6" s="95" t="s">
        <v>9</v>
      </c>
      <c r="Q6" s="13">
        <f t="shared" si="1"/>
        <v>1638</v>
      </c>
      <c r="R6" s="13">
        <f>IFERROR(INDEX(Master!$A$16:$L$26,MATCH(Y6,Master!$A$16:$A$26,0),MATCH(X6,Master!$A$16:$L$16,0)),0)</f>
        <v>3277</v>
      </c>
      <c r="S6" s="13">
        <f>IFERROR(INDEX(Master!$A$29:$L$39,MATCH(Y6,Master!$A$29:$A$39,0),MATCH(X6,Master!A$29:L$29,0)),0)</f>
        <v>4915</v>
      </c>
      <c r="U6" s="37" t="e">
        <f>#REF!</f>
        <v>#REF!</v>
      </c>
      <c r="V6" s="148"/>
      <c r="W6" s="108">
        <f>IF(Sheet1!B5="","",IF(Sheet1!B5="0-11 Months",0,Sheet1!B5))</f>
        <v>25</v>
      </c>
      <c r="X6" s="39" t="str">
        <f>IFERROR(LOOKUP(W6,Master!$N$4:$P$14),0)</f>
        <v>91 days - 25 years</v>
      </c>
      <c r="Y6" s="21">
        <f>IF(W6="",0,Sheet1!$B$3)</f>
        <v>500000</v>
      </c>
      <c r="Z6" s="21">
        <f>IF(Sheet1!$G$3="3 1/2 Months",Master!Q6,IF(Sheet1!$G$3="6 1/2 Months",Master!R6,Master!S6))</f>
        <v>4915</v>
      </c>
      <c r="AA6" s="21">
        <f>IF(AND(Sheet1!$G$3="3 1/2 Months",Sheet1!$E$3="Yes"),Master!Q12,IF(AND(Sheet1!$G$3="6 1/2 Months",Sheet1!$E$3="Yes"),Master!R12,IF(AND(Sheet1!$G$3="9 1/2 Months",Sheet1!$E$3="Yes"),Master!S12,0)))</f>
        <v>230</v>
      </c>
      <c r="AB6" s="21">
        <f t="shared" si="2"/>
        <v>5145</v>
      </c>
      <c r="AH6" s="68"/>
      <c r="AI6" s="11"/>
      <c r="AJ6" s="2" t="s">
        <v>46</v>
      </c>
      <c r="AK6" s="11" t="str">
        <f t="shared" si="0"/>
        <v>IndividualMonthly</v>
      </c>
      <c r="AM6" s="68"/>
      <c r="AN6" s="68"/>
    </row>
    <row r="7" spans="1:40" x14ac:dyDescent="0.25">
      <c r="A7" s="92">
        <v>200000</v>
      </c>
      <c r="B7" s="91">
        <v>1132</v>
      </c>
      <c r="C7" s="91">
        <v>1275</v>
      </c>
      <c r="D7" s="91">
        <v>1378</v>
      </c>
      <c r="E7" s="91">
        <v>1614</v>
      </c>
      <c r="F7" s="91">
        <v>1739</v>
      </c>
      <c r="G7" s="91">
        <v>1740</v>
      </c>
      <c r="H7" s="91">
        <v>1836</v>
      </c>
      <c r="I7" s="91">
        <v>2144</v>
      </c>
      <c r="J7" s="91">
        <v>2203</v>
      </c>
      <c r="K7" s="91">
        <v>2255</v>
      </c>
      <c r="L7" s="91">
        <v>2330</v>
      </c>
      <c r="N7" s="14">
        <v>41</v>
      </c>
      <c r="O7" s="14">
        <v>45</v>
      </c>
      <c r="P7" s="95" t="s">
        <v>10</v>
      </c>
      <c r="Q7" s="13">
        <f t="shared" si="1"/>
        <v>1638</v>
      </c>
      <c r="R7" s="13">
        <f>IFERROR(INDEX(Master!$A$16:$L$26,MATCH(Y7,Master!$A$16:$A$26,0),MATCH(X7,Master!$A$16:$L$16,0)),0)</f>
        <v>3277</v>
      </c>
      <c r="S7" s="13">
        <f>IFERROR(INDEX(Master!$A$29:$L$39,MATCH(Y7,Master!$A$29:$A$39,0),MATCH(X7,Master!A$29:L$29,0)),0)</f>
        <v>4915</v>
      </c>
      <c r="U7" s="37" t="e">
        <f>#REF!</f>
        <v>#REF!</v>
      </c>
      <c r="V7" s="148"/>
      <c r="W7" s="108">
        <f>IF(Sheet1!D5="","",IF(Sheet1!D5="0-11 Months",0,Sheet1!D5))</f>
        <v>0</v>
      </c>
      <c r="X7" s="39" t="str">
        <f>IFERROR(LOOKUP(W7,Master!$N$4:$P$14),0)</f>
        <v>91 days - 25 years</v>
      </c>
      <c r="Y7" s="21">
        <f>IF(W7="",0,Sheet1!$B$3)</f>
        <v>500000</v>
      </c>
      <c r="Z7" s="21">
        <f>IF(Sheet1!$G$3="3 1/2 Months",Master!Q7,IF(Sheet1!$G$3="6 1/2 Months",Master!R7,Master!S7))</f>
        <v>4915</v>
      </c>
      <c r="AA7" s="21">
        <f>IF(AND(Sheet1!$G$3="3 1/2 Months",Sheet1!$E$3="Yes"),Master!Q13,IF(AND(Sheet1!$G$3="6 1/2 Months",Sheet1!$E$3="Yes"),Master!R13,IF(AND(Sheet1!$G$3="9 1/2 Months",Sheet1!$E$3="Yes"),Master!S13,0)))</f>
        <v>230</v>
      </c>
      <c r="AB7" s="21">
        <f t="shared" si="2"/>
        <v>5145</v>
      </c>
      <c r="AH7" s="68"/>
      <c r="AI7" s="11"/>
      <c r="AJ7" s="11"/>
      <c r="AK7" s="26" t="str">
        <f>$AI$4&amp;AJ3</f>
        <v>Family FloaterNo</v>
      </c>
    </row>
    <row r="8" spans="1:40" x14ac:dyDescent="0.25">
      <c r="A8" s="92">
        <v>250000</v>
      </c>
      <c r="B8" s="91">
        <v>1252</v>
      </c>
      <c r="C8" s="91">
        <v>1448</v>
      </c>
      <c r="D8" s="91">
        <v>1591</v>
      </c>
      <c r="E8" s="91">
        <v>1916</v>
      </c>
      <c r="F8" s="91">
        <v>2088</v>
      </c>
      <c r="G8" s="91">
        <v>2089</v>
      </c>
      <c r="H8" s="91">
        <v>2222</v>
      </c>
      <c r="I8" s="91">
        <v>2647</v>
      </c>
      <c r="J8" s="91">
        <v>2729</v>
      </c>
      <c r="K8" s="91">
        <v>2800</v>
      </c>
      <c r="L8" s="91">
        <v>2903</v>
      </c>
      <c r="N8" s="14">
        <v>46</v>
      </c>
      <c r="O8" s="14">
        <v>50</v>
      </c>
      <c r="P8" s="95" t="s">
        <v>11</v>
      </c>
      <c r="Q8" s="13">
        <f t="shared" si="1"/>
        <v>0</v>
      </c>
      <c r="R8" s="13">
        <f>IFERROR(INDEX(Master!$A$16:$L$26,MATCH(Y8,Master!$A$16:$A$26,0),MATCH(X8,Master!$A$16:$L$16,0)),0)</f>
        <v>0</v>
      </c>
      <c r="S8" s="13">
        <f>IFERROR(INDEX(Master!$A$29:$L$39,MATCH(Y8,Master!$A$29:$A$39,0),MATCH(X8,Master!A$29:L$29,0)),0)</f>
        <v>0</v>
      </c>
      <c r="U8" s="37" t="e">
        <f>#REF!</f>
        <v>#REF!</v>
      </c>
      <c r="V8" s="37"/>
      <c r="W8" s="38"/>
      <c r="X8" s="39">
        <f>IFERROR(LOOKUP(#REF!,Master!$N$4:$P$14),0)</f>
        <v>0</v>
      </c>
      <c r="Y8" s="1">
        <v>0</v>
      </c>
      <c r="Z8" s="21">
        <v>0</v>
      </c>
      <c r="AA8" s="21">
        <v>0</v>
      </c>
      <c r="AB8" s="21">
        <f t="shared" si="2"/>
        <v>0</v>
      </c>
      <c r="AH8" s="68"/>
      <c r="AI8" s="11"/>
      <c r="AJ8" s="11"/>
      <c r="AK8" s="26" t="str">
        <f t="shared" ref="AK8:AK10" si="3">$AI$4&amp;AJ4</f>
        <v>Family FloaterHalf_Yearly</v>
      </c>
      <c r="AM8" s="68"/>
    </row>
    <row r="9" spans="1:40" x14ac:dyDescent="0.25">
      <c r="A9" s="92">
        <v>300000</v>
      </c>
      <c r="B9" s="91">
        <v>1348</v>
      </c>
      <c r="C9" s="91">
        <v>1601</v>
      </c>
      <c r="D9" s="91">
        <v>1785</v>
      </c>
      <c r="E9" s="91">
        <v>2205</v>
      </c>
      <c r="F9" s="91">
        <v>2425</v>
      </c>
      <c r="G9" s="91">
        <v>2427</v>
      </c>
      <c r="H9" s="91">
        <v>2598</v>
      </c>
      <c r="I9" s="91">
        <v>3145</v>
      </c>
      <c r="J9" s="91">
        <v>3251</v>
      </c>
      <c r="K9" s="91">
        <v>3343</v>
      </c>
      <c r="L9" s="91">
        <v>3475</v>
      </c>
      <c r="N9" s="14">
        <v>51</v>
      </c>
      <c r="O9" s="14">
        <v>55</v>
      </c>
      <c r="P9" s="95" t="s">
        <v>12</v>
      </c>
      <c r="Q9" s="147" t="s">
        <v>86</v>
      </c>
      <c r="R9" s="147"/>
      <c r="S9" s="147"/>
      <c r="Y9" s="41" t="s">
        <v>36</v>
      </c>
      <c r="Z9" s="21">
        <f>SUM(AB4:AB8)</f>
        <v>37445</v>
      </c>
      <c r="AA9" s="21"/>
      <c r="AB9" s="21">
        <f>SUM(AB4:AB8)</f>
        <v>37445</v>
      </c>
      <c r="AC9" s="21" t="e">
        <f>IF(#REF!="No",0,AF40)</f>
        <v>#REF!</v>
      </c>
      <c r="AD9" s="1" t="e">
        <f>#REF!&amp;#REF!</f>
        <v>#REF!</v>
      </c>
      <c r="AH9" s="68"/>
      <c r="AI9" s="11"/>
      <c r="AJ9" s="11"/>
      <c r="AK9" s="26" t="str">
        <f t="shared" si="3"/>
        <v>Family FloaterQuarterly</v>
      </c>
      <c r="AM9" s="68"/>
    </row>
    <row r="10" spans="1:40" x14ac:dyDescent="0.25">
      <c r="A10" s="92">
        <v>350000</v>
      </c>
      <c r="B10" s="91">
        <v>1431</v>
      </c>
      <c r="C10" s="91">
        <v>1742</v>
      </c>
      <c r="D10" s="91">
        <v>1968</v>
      </c>
      <c r="E10" s="91">
        <v>2484</v>
      </c>
      <c r="F10" s="91">
        <v>2755</v>
      </c>
      <c r="G10" s="91">
        <v>2758</v>
      </c>
      <c r="H10" s="91">
        <v>2968</v>
      </c>
      <c r="I10" s="91">
        <v>3640</v>
      </c>
      <c r="J10" s="91">
        <v>3770</v>
      </c>
      <c r="K10" s="91">
        <v>3883</v>
      </c>
      <c r="L10" s="91">
        <v>4046</v>
      </c>
      <c r="N10" s="13">
        <v>56</v>
      </c>
      <c r="O10" s="14">
        <v>60</v>
      </c>
      <c r="P10" s="95" t="s">
        <v>13</v>
      </c>
      <c r="Q10" s="13">
        <f>IFERROR(INDEX($A$42:$L$52,MATCH(Y4,$A$42:$A$52,0),MATCH(X4,$A$42:$L$42,0)),0)</f>
        <v>111</v>
      </c>
      <c r="R10" s="13">
        <f>IFERROR(INDEX($A$55:$L$65,MATCH(Y4,$A$55:$A$65,0),MATCH(X4,Master!$A$55:$L$55,0)),0)</f>
        <v>223</v>
      </c>
      <c r="S10" s="13">
        <f>IFERROR(INDEX($A$68:$L$78,MATCH(Y4,Master!$A$68:$A$78,0),MATCH(X4,Master!A$68:L$68,0)),0)</f>
        <v>334</v>
      </c>
      <c r="Y10" s="42" t="s">
        <v>37</v>
      </c>
      <c r="Z10" s="21">
        <f>SUM(AB4:AB8)</f>
        <v>37445</v>
      </c>
      <c r="AA10" s="21"/>
      <c r="AB10" s="21">
        <f>Z10-AB24</f>
        <v>29956</v>
      </c>
      <c r="AC10" s="21" t="e">
        <f>IF(#REF!="No",0,AF41)</f>
        <v>#REF!</v>
      </c>
      <c r="AI10" s="11"/>
      <c r="AJ10" s="11"/>
      <c r="AK10" s="26" t="str">
        <f t="shared" si="3"/>
        <v>Family FloaterMonthly</v>
      </c>
    </row>
    <row r="11" spans="1:40" x14ac:dyDescent="0.25">
      <c r="A11" s="92">
        <v>400000</v>
      </c>
      <c r="B11" s="91">
        <v>1505</v>
      </c>
      <c r="C11" s="91">
        <v>1875</v>
      </c>
      <c r="D11" s="91">
        <v>2144</v>
      </c>
      <c r="E11" s="91">
        <v>2758</v>
      </c>
      <c r="F11" s="91">
        <v>3081</v>
      </c>
      <c r="G11" s="91">
        <v>3084</v>
      </c>
      <c r="H11" s="91">
        <v>3334</v>
      </c>
      <c r="I11" s="91">
        <v>4134</v>
      </c>
      <c r="J11" s="91">
        <v>4289</v>
      </c>
      <c r="K11" s="91">
        <v>4423</v>
      </c>
      <c r="L11" s="91">
        <v>4617</v>
      </c>
      <c r="N11" s="3">
        <v>61</v>
      </c>
      <c r="O11" s="14">
        <v>65</v>
      </c>
      <c r="P11" s="95" t="s">
        <v>14</v>
      </c>
      <c r="Q11" s="13">
        <f t="shared" ref="Q11:Q14" si="4">IFERROR(INDEX($A$42:$L$52,MATCH(Y5,$A$42:$A$52,0),MATCH(X5,$A$42:$L$42,0)),0)</f>
        <v>97</v>
      </c>
      <c r="R11" s="13">
        <f>IFERROR(INDEX($A$55:$L$65,MATCH(Y5,$A$55:$A$65,0),MATCH(X5,Master!$A$55:$L$55,0)),0)</f>
        <v>195</v>
      </c>
      <c r="S11" s="13">
        <f>IFERROR(INDEX($A$68:$L$78,MATCH(Y5,Master!$A$68:$A$78,0),MATCH(X5,Master!A$68:L$68,0)),0)</f>
        <v>292</v>
      </c>
      <c r="T11" s="7"/>
      <c r="U11" s="7"/>
      <c r="Z11" s="24"/>
    </row>
    <row r="12" spans="1:40" x14ac:dyDescent="0.25">
      <c r="A12" s="92">
        <v>450000</v>
      </c>
      <c r="B12" s="91">
        <v>1574</v>
      </c>
      <c r="C12" s="91">
        <v>2003</v>
      </c>
      <c r="D12" s="91">
        <v>2315</v>
      </c>
      <c r="E12" s="91">
        <v>3029</v>
      </c>
      <c r="F12" s="91">
        <v>3404</v>
      </c>
      <c r="G12" s="91">
        <v>3407</v>
      </c>
      <c r="H12" s="91">
        <v>3697</v>
      </c>
      <c r="I12" s="91">
        <v>4627</v>
      </c>
      <c r="J12" s="91">
        <v>4806</v>
      </c>
      <c r="K12" s="91">
        <v>4962</v>
      </c>
      <c r="L12" s="91">
        <v>5188</v>
      </c>
      <c r="N12" s="3">
        <v>66</v>
      </c>
      <c r="O12" s="14">
        <v>70</v>
      </c>
      <c r="P12" s="95" t="s">
        <v>15</v>
      </c>
      <c r="Q12" s="13">
        <f t="shared" si="4"/>
        <v>77</v>
      </c>
      <c r="R12" s="13">
        <f>IFERROR(INDEX($A$55:$L$65,MATCH(Y6,$A$55:$A$65,0),MATCH(X6,Master!$A$55:$L$55,0)),0)</f>
        <v>154</v>
      </c>
      <c r="S12" s="13">
        <f>IFERROR(INDEX($A$68:$L$78,MATCH(Y6,Master!$A$68:$A$78,0),MATCH(X6,Master!A$68:L$68,0)),0)</f>
        <v>230</v>
      </c>
      <c r="T12" s="7"/>
      <c r="AG12" s="68"/>
      <c r="AJ12" s="31"/>
    </row>
    <row r="13" spans="1:40" x14ac:dyDescent="0.25">
      <c r="A13" s="92">
        <v>500000</v>
      </c>
      <c r="B13" s="91">
        <v>1638</v>
      </c>
      <c r="C13" s="91">
        <v>2128</v>
      </c>
      <c r="D13" s="91">
        <v>2484</v>
      </c>
      <c r="E13" s="91">
        <v>3297</v>
      </c>
      <c r="F13" s="91">
        <v>3724</v>
      </c>
      <c r="G13" s="91">
        <v>3728</v>
      </c>
      <c r="H13" s="91">
        <v>4059</v>
      </c>
      <c r="I13" s="91">
        <v>5119</v>
      </c>
      <c r="J13" s="91">
        <v>5323</v>
      </c>
      <c r="K13" s="91">
        <v>5501</v>
      </c>
      <c r="L13" s="91">
        <v>5758</v>
      </c>
      <c r="N13" s="3">
        <v>71</v>
      </c>
      <c r="O13" s="14">
        <v>75</v>
      </c>
      <c r="P13" s="95" t="s">
        <v>16</v>
      </c>
      <c r="Q13" s="13">
        <f t="shared" si="4"/>
        <v>77</v>
      </c>
      <c r="R13" s="13">
        <f>IFERROR(INDEX($A$55:$L$65,MATCH(Y7,$A$55:$A$65,0),MATCH(X7,Master!$A$55:$L$55,0)),0)</f>
        <v>154</v>
      </c>
      <c r="S13" s="13">
        <f>IFERROR(INDEX($A$68:$L$78,MATCH(Y7,Master!$A$68:$A$78,0),MATCH(X7,Master!A$68:L$68,0)),0)</f>
        <v>230</v>
      </c>
      <c r="T13" s="7"/>
      <c r="Y13" s="144" t="s">
        <v>24</v>
      </c>
      <c r="Z13" s="144"/>
      <c r="AD13" s="78"/>
      <c r="AE13" s="58"/>
      <c r="AG13" s="145"/>
      <c r="AH13" s="145"/>
      <c r="AJ13" s="32" t="e">
        <f>IF($AD$9=AK3,$AL$18,IF($AD$9=AK4,AC9,IF($AD$9=AK5,AC9,IF($AD$9=AK6,AC9,IF($AD$9=AK7,$AL$18,IF($AD$9=AK8,AC10,IF($AD$9=AK9,AC10,IF($AD$9=AK10,AC10,0))))))))</f>
        <v>#REF!</v>
      </c>
      <c r="AK13" s="1" t="s">
        <v>55</v>
      </c>
    </row>
    <row r="14" spans="1:4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9"/>
      <c r="N14" s="3">
        <v>76</v>
      </c>
      <c r="O14" s="14">
        <v>100</v>
      </c>
      <c r="P14" s="95" t="s">
        <v>74</v>
      </c>
      <c r="Q14" s="13">
        <f t="shared" si="4"/>
        <v>0</v>
      </c>
      <c r="R14" s="13">
        <f>IFERROR(INDEX($A$55:$L$65,MATCH(Y8,$A$55:$A$65,0),MATCH(X8,Master!$A$55:$L$55,0)),0)</f>
        <v>0</v>
      </c>
      <c r="S14" s="13">
        <f>IFERROR(INDEX($A$68:$L$78,MATCH(Y8,Master!$A$68:$A$78,0),MATCH(X8,Master!A$68:L$68,0)),0)</f>
        <v>0</v>
      </c>
      <c r="T14" s="7"/>
      <c r="Y14" s="51" t="s">
        <v>25</v>
      </c>
      <c r="Z14" s="18">
        <v>0.15</v>
      </c>
      <c r="AD14" s="56"/>
      <c r="AE14" s="62"/>
      <c r="AG14" s="56"/>
      <c r="AH14" s="62"/>
    </row>
    <row r="15" spans="1:40" x14ac:dyDescent="0.25">
      <c r="A15" s="16" t="s">
        <v>75</v>
      </c>
      <c r="B15" s="16" t="s">
        <v>81</v>
      </c>
      <c r="C15" s="5"/>
      <c r="D15" s="5"/>
      <c r="E15" s="5"/>
      <c r="F15" s="5"/>
      <c r="G15" s="5"/>
      <c r="H15" s="5"/>
      <c r="I15" s="5"/>
      <c r="J15" s="5"/>
      <c r="K15" s="5"/>
      <c r="L15" s="5"/>
      <c r="P15" s="7"/>
      <c r="Q15" s="7"/>
      <c r="R15" s="7"/>
      <c r="S15" s="7"/>
      <c r="T15" s="7"/>
      <c r="Y15" s="51" t="s">
        <v>26</v>
      </c>
      <c r="AD15" s="6"/>
      <c r="AE15" s="63"/>
      <c r="AG15" s="6"/>
      <c r="AH15" s="63"/>
      <c r="AJ15" s="28" t="s">
        <v>52</v>
      </c>
      <c r="AK15" s="47"/>
      <c r="AL15" s="25" t="e">
        <f>IF(#REF!="Individual",Master!$AB$9,Master!$AB$10)</f>
        <v>#REF!</v>
      </c>
    </row>
    <row r="16" spans="1:40" x14ac:dyDescent="0.25">
      <c r="A16" s="88" t="s">
        <v>6</v>
      </c>
      <c r="B16" s="80" t="s">
        <v>7</v>
      </c>
      <c r="C16" s="80" t="s">
        <v>8</v>
      </c>
      <c r="D16" s="80" t="s">
        <v>9</v>
      </c>
      <c r="E16" s="80" t="s">
        <v>10</v>
      </c>
      <c r="F16" s="80" t="s">
        <v>11</v>
      </c>
      <c r="G16" s="80" t="s">
        <v>12</v>
      </c>
      <c r="H16" s="80" t="s">
        <v>13</v>
      </c>
      <c r="I16" s="80" t="s">
        <v>14</v>
      </c>
      <c r="J16" s="80" t="s">
        <v>15</v>
      </c>
      <c r="K16" s="80" t="s">
        <v>16</v>
      </c>
      <c r="L16" s="80" t="s">
        <v>74</v>
      </c>
      <c r="P16" s="4"/>
      <c r="Q16" s="4"/>
      <c r="R16" s="4"/>
      <c r="S16" s="4"/>
      <c r="T16" s="4"/>
      <c r="Y16" s="44" t="s">
        <v>22</v>
      </c>
      <c r="Z16" s="45" t="s">
        <v>23</v>
      </c>
      <c r="AD16" s="6"/>
      <c r="AE16" s="63"/>
      <c r="AG16" s="6"/>
      <c r="AH16" s="64"/>
      <c r="AJ16" s="28" t="s">
        <v>98</v>
      </c>
      <c r="AK16" s="18" t="e">
        <f>#REF!</f>
        <v>#REF!</v>
      </c>
      <c r="AL16" s="25" t="e">
        <f>-AL15*AK16</f>
        <v>#REF!</v>
      </c>
    </row>
    <row r="17" spans="1:38" x14ac:dyDescent="0.25">
      <c r="A17" s="89">
        <v>50000</v>
      </c>
      <c r="B17" s="83">
        <v>1019</v>
      </c>
      <c r="C17" s="83">
        <v>1039</v>
      </c>
      <c r="D17" s="83">
        <v>1054</v>
      </c>
      <c r="E17" s="83">
        <v>1088</v>
      </c>
      <c r="F17" s="83">
        <v>1105</v>
      </c>
      <c r="G17" s="83">
        <v>1105</v>
      </c>
      <c r="H17" s="83">
        <v>1119</v>
      </c>
      <c r="I17" s="83">
        <v>1163</v>
      </c>
      <c r="J17" s="83">
        <v>1172</v>
      </c>
      <c r="K17" s="83">
        <v>1179</v>
      </c>
      <c r="L17" s="83">
        <v>1190</v>
      </c>
      <c r="N17" s="71"/>
      <c r="O17" s="72"/>
      <c r="P17" s="20"/>
      <c r="Q17" s="20"/>
      <c r="R17" s="20"/>
      <c r="S17" s="20"/>
      <c r="T17" s="5"/>
      <c r="Y17" s="54" t="s">
        <v>7</v>
      </c>
      <c r="Z17" s="27">
        <v>0.15</v>
      </c>
      <c r="AD17" s="6"/>
      <c r="AE17" s="63"/>
      <c r="AG17" s="6"/>
      <c r="AH17" s="63"/>
      <c r="AJ17" s="29" t="s">
        <v>73</v>
      </c>
      <c r="AK17" s="11"/>
      <c r="AL17" s="25" t="e">
        <f>#REF!</f>
        <v>#REF!</v>
      </c>
    </row>
    <row r="18" spans="1:38" x14ac:dyDescent="0.25">
      <c r="A18" s="89">
        <v>100000</v>
      </c>
      <c r="B18" s="83">
        <v>1553</v>
      </c>
      <c r="C18" s="83">
        <v>1648</v>
      </c>
      <c r="D18" s="83">
        <v>1717</v>
      </c>
      <c r="E18" s="83">
        <v>1875</v>
      </c>
      <c r="F18" s="83">
        <v>1958</v>
      </c>
      <c r="G18" s="83">
        <v>1959</v>
      </c>
      <c r="H18" s="83">
        <v>2023</v>
      </c>
      <c r="I18" s="83">
        <v>2229</v>
      </c>
      <c r="J18" s="83">
        <v>2269</v>
      </c>
      <c r="K18" s="83">
        <v>2303</v>
      </c>
      <c r="L18" s="83">
        <v>2353</v>
      </c>
      <c r="N18" s="73"/>
      <c r="O18" s="73"/>
      <c r="P18" s="34"/>
      <c r="Q18" s="34"/>
      <c r="R18" s="34"/>
      <c r="S18" s="34"/>
      <c r="T18" s="5"/>
      <c r="Y18" s="13" t="s">
        <v>8</v>
      </c>
      <c r="Z18" s="27">
        <v>0.15</v>
      </c>
      <c r="AA18" s="16" t="s">
        <v>27</v>
      </c>
      <c r="AC18" s="16" t="s">
        <v>33</v>
      </c>
      <c r="AD18" s="58"/>
      <c r="AE18" s="58"/>
      <c r="AG18" s="6"/>
      <c r="AH18" s="63"/>
      <c r="AJ18" s="29" t="s">
        <v>54</v>
      </c>
      <c r="AK18" s="11"/>
      <c r="AL18" s="49" t="e">
        <f>SUM(AL15:AL17)</f>
        <v>#REF!</v>
      </c>
    </row>
    <row r="19" spans="1:38" x14ac:dyDescent="0.25">
      <c r="A19" s="89">
        <v>150000</v>
      </c>
      <c r="B19" s="83">
        <v>1958</v>
      </c>
      <c r="C19" s="83">
        <v>2143</v>
      </c>
      <c r="D19" s="83">
        <v>2277</v>
      </c>
      <c r="E19" s="83">
        <v>2583</v>
      </c>
      <c r="F19" s="83">
        <v>2744</v>
      </c>
      <c r="G19" s="83">
        <v>2745</v>
      </c>
      <c r="H19" s="83">
        <v>2869</v>
      </c>
      <c r="I19" s="83">
        <v>3268</v>
      </c>
      <c r="J19" s="83">
        <v>3345</v>
      </c>
      <c r="K19" s="83">
        <v>3412</v>
      </c>
      <c r="L19" s="83">
        <v>3509</v>
      </c>
      <c r="N19" s="72"/>
      <c r="O19" s="72"/>
      <c r="P19" s="34"/>
      <c r="Q19" s="34"/>
      <c r="R19" s="34"/>
      <c r="S19" s="34"/>
      <c r="T19" s="5"/>
      <c r="Y19" s="13" t="s">
        <v>9</v>
      </c>
      <c r="Z19" s="27">
        <v>0.1</v>
      </c>
      <c r="AA19" s="1" t="s">
        <v>28</v>
      </c>
      <c r="AB19" s="19">
        <f>MAX(W4:W7)</f>
        <v>65</v>
      </c>
      <c r="AC19" s="1">
        <f>COUNTIFS(W6:W7,"&gt;=0.25",W6:W7,"&lt;=25",W6:W7,"&lt;=18")</f>
        <v>0</v>
      </c>
      <c r="AD19" s="56"/>
      <c r="AE19" s="58"/>
      <c r="AG19" s="56"/>
      <c r="AH19" s="58"/>
    </row>
    <row r="20" spans="1:38" x14ac:dyDescent="0.25">
      <c r="A20" s="89">
        <v>200000</v>
      </c>
      <c r="B20" s="83">
        <v>2265</v>
      </c>
      <c r="C20" s="83">
        <v>2550</v>
      </c>
      <c r="D20" s="83">
        <v>2756</v>
      </c>
      <c r="E20" s="83">
        <v>3229</v>
      </c>
      <c r="F20" s="83">
        <v>3477</v>
      </c>
      <c r="G20" s="83">
        <v>3480</v>
      </c>
      <c r="H20" s="83">
        <v>3672</v>
      </c>
      <c r="I20" s="83">
        <v>4288</v>
      </c>
      <c r="J20" s="83">
        <v>4407</v>
      </c>
      <c r="K20" s="83">
        <v>4510</v>
      </c>
      <c r="L20" s="83">
        <v>4659</v>
      </c>
      <c r="N20" s="72"/>
      <c r="O20" s="72"/>
      <c r="P20" s="34"/>
      <c r="Q20" s="34"/>
      <c r="R20" s="34"/>
      <c r="S20" s="34"/>
      <c r="T20" s="5"/>
      <c r="Y20" s="13" t="s">
        <v>10</v>
      </c>
      <c r="Z20" s="27">
        <v>0.1</v>
      </c>
      <c r="AA20" s="1" t="s">
        <v>5</v>
      </c>
      <c r="AB20" s="1">
        <f>Sheet1!$B$3</f>
        <v>500000</v>
      </c>
      <c r="AC20" s="1" t="str">
        <f>IF($AC$19=COUNT(W6:W7),"Yes","No")</f>
        <v>No</v>
      </c>
      <c r="AD20" s="6"/>
      <c r="AE20" s="65"/>
      <c r="AG20" s="6"/>
      <c r="AH20" s="65"/>
    </row>
    <row r="21" spans="1:38" ht="30" x14ac:dyDescent="0.25">
      <c r="A21" s="89">
        <v>250000</v>
      </c>
      <c r="B21" s="83">
        <v>2503</v>
      </c>
      <c r="C21" s="83">
        <v>2896</v>
      </c>
      <c r="D21" s="83">
        <v>3181</v>
      </c>
      <c r="E21" s="83">
        <v>3833</v>
      </c>
      <c r="F21" s="83">
        <v>4176</v>
      </c>
      <c r="G21" s="83">
        <v>4179</v>
      </c>
      <c r="H21" s="83">
        <v>4444</v>
      </c>
      <c r="I21" s="83">
        <v>5293</v>
      </c>
      <c r="J21" s="83">
        <v>5457</v>
      </c>
      <c r="K21" s="83">
        <v>5600</v>
      </c>
      <c r="L21" s="83">
        <v>5806</v>
      </c>
      <c r="M21" s="5"/>
      <c r="N21" s="72"/>
      <c r="O21" s="72"/>
      <c r="P21" s="34"/>
      <c r="Q21" s="34"/>
      <c r="R21" s="34"/>
      <c r="S21" s="34"/>
      <c r="T21" s="5"/>
      <c r="Y21" s="13" t="s">
        <v>11</v>
      </c>
      <c r="Z21" s="27">
        <v>0.1</v>
      </c>
      <c r="AA21" s="52" t="s">
        <v>29</v>
      </c>
      <c r="AB21" s="53" t="str">
        <f>LOOKUP($AB$19,$N$4:$P$14)</f>
        <v>61 years - 65 years</v>
      </c>
      <c r="AD21" s="6"/>
      <c r="AE21" s="77"/>
      <c r="AG21" s="6"/>
      <c r="AH21" s="66"/>
    </row>
    <row r="22" spans="1:38" x14ac:dyDescent="0.25">
      <c r="A22" s="90">
        <v>300000</v>
      </c>
      <c r="B22" s="83">
        <v>2697</v>
      </c>
      <c r="C22" s="83">
        <v>3203</v>
      </c>
      <c r="D22" s="83">
        <v>3570</v>
      </c>
      <c r="E22" s="83">
        <v>4409</v>
      </c>
      <c r="F22" s="83">
        <v>4851</v>
      </c>
      <c r="G22" s="83">
        <v>4855</v>
      </c>
      <c r="H22" s="83">
        <v>5196</v>
      </c>
      <c r="I22" s="83">
        <v>6290</v>
      </c>
      <c r="J22" s="83">
        <v>6501</v>
      </c>
      <c r="K22" s="83">
        <v>6685</v>
      </c>
      <c r="L22" s="83">
        <v>6950</v>
      </c>
      <c r="M22" s="5"/>
      <c r="N22" s="72"/>
      <c r="O22" s="72"/>
      <c r="P22" s="34"/>
      <c r="Q22" s="34"/>
      <c r="R22" s="34"/>
      <c r="S22" s="34"/>
      <c r="T22" s="5"/>
      <c r="Y22" s="13" t="s">
        <v>12</v>
      </c>
      <c r="Z22" s="27">
        <v>0.1</v>
      </c>
      <c r="AA22" s="53" t="s">
        <v>30</v>
      </c>
      <c r="AB22" s="109">
        <f>IF(COUNT(W4:W5)&gt;1,VLOOKUP($AB$21,$Y$16:$Z$27,2,0),0)</f>
        <v>0.05</v>
      </c>
      <c r="AC22" s="18">
        <f>COUNT(W6:W7)*15%</f>
        <v>0.3</v>
      </c>
      <c r="AD22" s="56"/>
      <c r="AE22" s="58"/>
      <c r="AG22" s="56"/>
      <c r="AH22" s="58"/>
    </row>
    <row r="23" spans="1:38" x14ac:dyDescent="0.25">
      <c r="A23" s="89">
        <v>350000</v>
      </c>
      <c r="B23" s="83">
        <v>2862</v>
      </c>
      <c r="C23" s="83">
        <v>3484</v>
      </c>
      <c r="D23" s="83">
        <v>3935</v>
      </c>
      <c r="E23" s="83">
        <v>4968</v>
      </c>
      <c r="F23" s="83">
        <v>5510</v>
      </c>
      <c r="G23" s="83">
        <v>5515</v>
      </c>
      <c r="H23" s="83">
        <v>5935</v>
      </c>
      <c r="I23" s="83">
        <v>7281</v>
      </c>
      <c r="J23" s="83">
        <v>7540</v>
      </c>
      <c r="K23" s="83">
        <v>7767</v>
      </c>
      <c r="L23" s="83">
        <v>8093</v>
      </c>
      <c r="N23" s="72"/>
      <c r="O23" s="72"/>
      <c r="P23" s="34"/>
      <c r="Q23" s="34"/>
      <c r="R23" s="34"/>
      <c r="S23" s="34"/>
      <c r="Y23" s="13" t="s">
        <v>13</v>
      </c>
      <c r="Z23" s="27">
        <v>0.05</v>
      </c>
      <c r="AA23" s="1" t="s">
        <v>34</v>
      </c>
      <c r="AB23" s="18">
        <f>MIN(20%,SUM(AB22,AC22))</f>
        <v>0.2</v>
      </c>
      <c r="AD23" s="58"/>
      <c r="AE23" s="66"/>
      <c r="AH23" s="21"/>
    </row>
    <row r="24" spans="1:38" x14ac:dyDescent="0.25">
      <c r="A24" s="84">
        <v>400000</v>
      </c>
      <c r="B24" s="83">
        <v>3010</v>
      </c>
      <c r="C24" s="83">
        <v>3750</v>
      </c>
      <c r="D24" s="83">
        <v>4288</v>
      </c>
      <c r="E24" s="83">
        <v>5516</v>
      </c>
      <c r="F24" s="83">
        <v>6162</v>
      </c>
      <c r="G24" s="83">
        <v>6168</v>
      </c>
      <c r="H24" s="83">
        <v>6667</v>
      </c>
      <c r="I24" s="83">
        <v>8268</v>
      </c>
      <c r="J24" s="83">
        <v>8577</v>
      </c>
      <c r="K24" s="83">
        <v>8846</v>
      </c>
      <c r="L24" s="83">
        <v>9234</v>
      </c>
      <c r="N24" s="34"/>
      <c r="O24" s="72"/>
      <c r="P24" s="34"/>
      <c r="Q24" s="34"/>
      <c r="R24" s="34"/>
      <c r="S24" s="34"/>
      <c r="Y24" s="13" t="s">
        <v>14</v>
      </c>
      <c r="Z24" s="27">
        <v>0.05</v>
      </c>
      <c r="AA24" s="1" t="s">
        <v>35</v>
      </c>
      <c r="AB24" s="19">
        <f>Z10*AB23</f>
        <v>7489</v>
      </c>
      <c r="AD24" s="58"/>
      <c r="AE24" s="66"/>
      <c r="AH24" s="21"/>
    </row>
    <row r="25" spans="1:38" x14ac:dyDescent="0.25">
      <c r="A25" s="84">
        <v>450000</v>
      </c>
      <c r="B25" s="83">
        <v>3147</v>
      </c>
      <c r="C25" s="83">
        <v>4007</v>
      </c>
      <c r="D25" s="83">
        <v>4631</v>
      </c>
      <c r="E25" s="83">
        <v>6057</v>
      </c>
      <c r="F25" s="83">
        <v>6807</v>
      </c>
      <c r="G25" s="83">
        <v>6814</v>
      </c>
      <c r="H25" s="83">
        <v>7394</v>
      </c>
      <c r="I25" s="83">
        <v>9254</v>
      </c>
      <c r="J25" s="83">
        <v>9612</v>
      </c>
      <c r="K25" s="83">
        <v>9925</v>
      </c>
      <c r="L25" s="83">
        <v>10375</v>
      </c>
      <c r="N25" s="5"/>
      <c r="O25" s="72"/>
      <c r="P25" s="34"/>
      <c r="Q25" s="34"/>
      <c r="R25" s="34"/>
      <c r="S25" s="34"/>
      <c r="Y25" s="13" t="s">
        <v>15</v>
      </c>
      <c r="Z25" s="27">
        <v>0.05</v>
      </c>
      <c r="AD25" s="58"/>
      <c r="AE25" s="66"/>
      <c r="AH25" s="21"/>
    </row>
    <row r="26" spans="1:38" x14ac:dyDescent="0.25">
      <c r="A26" s="84">
        <v>500000</v>
      </c>
      <c r="B26" s="83">
        <v>3277</v>
      </c>
      <c r="C26" s="83">
        <v>4257</v>
      </c>
      <c r="D26" s="83">
        <v>4968</v>
      </c>
      <c r="E26" s="83">
        <v>6594</v>
      </c>
      <c r="F26" s="83">
        <v>7449</v>
      </c>
      <c r="G26" s="83">
        <v>7457</v>
      </c>
      <c r="H26" s="83">
        <v>8118</v>
      </c>
      <c r="I26" s="83">
        <v>10237</v>
      </c>
      <c r="J26" s="83">
        <v>10646</v>
      </c>
      <c r="K26" s="83">
        <v>11002</v>
      </c>
      <c r="L26" s="83">
        <v>11516</v>
      </c>
      <c r="N26" s="5"/>
      <c r="O26" s="72"/>
      <c r="P26" s="34"/>
      <c r="Q26" s="34"/>
      <c r="R26" s="34"/>
      <c r="S26" s="34"/>
      <c r="Y26" s="13" t="s">
        <v>16</v>
      </c>
      <c r="Z26" s="27">
        <v>0.05</v>
      </c>
      <c r="AD26" s="58"/>
      <c r="AE26" s="66"/>
      <c r="AH26" s="21"/>
    </row>
    <row r="27" spans="1:38" x14ac:dyDescent="0.25">
      <c r="A27" s="5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N27" s="5"/>
      <c r="O27" s="72"/>
      <c r="P27" s="34"/>
      <c r="Q27" s="34"/>
      <c r="R27" s="34"/>
      <c r="S27" s="34"/>
      <c r="Y27" s="13" t="s">
        <v>74</v>
      </c>
      <c r="Z27" s="27">
        <v>0.05</v>
      </c>
      <c r="AD27" s="58"/>
      <c r="AE27" s="66"/>
      <c r="AH27" s="21"/>
    </row>
    <row r="28" spans="1:38" x14ac:dyDescent="0.25">
      <c r="A28" s="16" t="s">
        <v>75</v>
      </c>
      <c r="B28" s="16" t="s">
        <v>82</v>
      </c>
      <c r="C28" s="5"/>
      <c r="D28" s="5"/>
      <c r="E28" s="5"/>
      <c r="F28" s="5"/>
      <c r="G28" s="5"/>
      <c r="H28" s="7"/>
      <c r="I28" s="7"/>
      <c r="J28" s="7"/>
      <c r="K28" s="7"/>
      <c r="L28" s="7"/>
      <c r="N28" s="5"/>
      <c r="O28" s="72"/>
      <c r="P28" s="34"/>
      <c r="Q28" s="34"/>
      <c r="R28" s="34"/>
      <c r="S28" s="34"/>
      <c r="U28" s="20"/>
    </row>
    <row r="29" spans="1:38" x14ac:dyDescent="0.25">
      <c r="A29" s="79" t="s">
        <v>6</v>
      </c>
      <c r="B29" s="80" t="s">
        <v>7</v>
      </c>
      <c r="C29" s="80" t="s">
        <v>8</v>
      </c>
      <c r="D29" s="80" t="s">
        <v>9</v>
      </c>
      <c r="E29" s="80" t="s">
        <v>10</v>
      </c>
      <c r="F29" s="80" t="s">
        <v>11</v>
      </c>
      <c r="G29" s="80" t="s">
        <v>12</v>
      </c>
      <c r="H29" s="80" t="s">
        <v>13</v>
      </c>
      <c r="I29" s="80" t="s">
        <v>14</v>
      </c>
      <c r="J29" s="80" t="s">
        <v>15</v>
      </c>
      <c r="K29" s="80" t="s">
        <v>16</v>
      </c>
      <c r="L29" s="80" t="s">
        <v>74</v>
      </c>
      <c r="U29" s="21"/>
      <c r="Z29" s="18"/>
    </row>
    <row r="30" spans="1:38" x14ac:dyDescent="0.25">
      <c r="A30" s="86">
        <v>50000</v>
      </c>
      <c r="B30" s="81">
        <v>1528</v>
      </c>
      <c r="C30" s="82">
        <v>1558</v>
      </c>
      <c r="D30" s="82">
        <v>1581</v>
      </c>
      <c r="E30" s="82">
        <v>1631</v>
      </c>
      <c r="F30" s="82">
        <v>1658</v>
      </c>
      <c r="G30" s="82">
        <v>1658</v>
      </c>
      <c r="H30" s="82">
        <v>1679</v>
      </c>
      <c r="I30" s="82">
        <v>1745</v>
      </c>
      <c r="J30" s="82">
        <v>1758</v>
      </c>
      <c r="K30" s="82">
        <v>1769</v>
      </c>
      <c r="L30" s="83">
        <v>1785</v>
      </c>
      <c r="M30" s="70"/>
      <c r="N30" s="67"/>
      <c r="U30" s="21"/>
    </row>
    <row r="31" spans="1:38" x14ac:dyDescent="0.25">
      <c r="A31" s="87">
        <v>100000</v>
      </c>
      <c r="B31" s="81">
        <v>2330</v>
      </c>
      <c r="C31" s="81">
        <v>2472</v>
      </c>
      <c r="D31" s="81">
        <v>2576</v>
      </c>
      <c r="E31" s="81">
        <v>2813</v>
      </c>
      <c r="F31" s="81">
        <v>2937</v>
      </c>
      <c r="G31" s="81">
        <v>2938</v>
      </c>
      <c r="H31" s="81">
        <v>3035</v>
      </c>
      <c r="I31" s="81">
        <v>3343</v>
      </c>
      <c r="J31" s="81">
        <v>3403</v>
      </c>
      <c r="K31" s="81">
        <v>3455</v>
      </c>
      <c r="L31" s="81">
        <v>3530</v>
      </c>
      <c r="U31" s="21"/>
      <c r="Z31" s="19"/>
      <c r="AD31" s="48" t="s">
        <v>42</v>
      </c>
    </row>
    <row r="32" spans="1:38" x14ac:dyDescent="0.25">
      <c r="A32" s="87">
        <v>150000</v>
      </c>
      <c r="B32" s="81">
        <v>2938</v>
      </c>
      <c r="C32" s="81">
        <v>3214</v>
      </c>
      <c r="D32" s="81">
        <v>3415</v>
      </c>
      <c r="E32" s="81">
        <v>3874</v>
      </c>
      <c r="F32" s="81">
        <v>4115</v>
      </c>
      <c r="G32" s="81">
        <v>4117</v>
      </c>
      <c r="H32" s="81">
        <v>4304</v>
      </c>
      <c r="I32" s="81">
        <v>4902</v>
      </c>
      <c r="J32" s="81">
        <v>5018</v>
      </c>
      <c r="K32" s="81">
        <v>5118</v>
      </c>
      <c r="L32" s="81">
        <v>5263</v>
      </c>
      <c r="U32" s="21"/>
      <c r="AD32" s="44" t="s">
        <v>43</v>
      </c>
      <c r="AE32" s="45" t="s">
        <v>44</v>
      </c>
    </row>
    <row r="33" spans="1:32" x14ac:dyDescent="0.25">
      <c r="A33" s="84">
        <v>200000</v>
      </c>
      <c r="B33" s="83">
        <v>3397</v>
      </c>
      <c r="C33" s="83">
        <v>3825</v>
      </c>
      <c r="D33" s="83">
        <v>4135</v>
      </c>
      <c r="E33" s="83">
        <v>4843</v>
      </c>
      <c r="F33" s="83">
        <v>5216</v>
      </c>
      <c r="G33" s="83">
        <v>5219</v>
      </c>
      <c r="H33" s="83">
        <v>5508</v>
      </c>
      <c r="I33" s="83">
        <v>6432</v>
      </c>
      <c r="J33" s="83">
        <v>6610</v>
      </c>
      <c r="K33" s="83">
        <v>6765</v>
      </c>
      <c r="L33" s="83">
        <v>6989</v>
      </c>
      <c r="U33" s="21"/>
      <c r="AB33" s="11" t="s">
        <v>0</v>
      </c>
      <c r="AD33" s="11" t="s">
        <v>0</v>
      </c>
      <c r="AE33" s="46">
        <v>0</v>
      </c>
    </row>
    <row r="34" spans="1:32" x14ac:dyDescent="0.25">
      <c r="A34" s="84">
        <v>250000</v>
      </c>
      <c r="B34" s="83">
        <v>3755</v>
      </c>
      <c r="C34" s="83">
        <v>4344</v>
      </c>
      <c r="D34" s="83">
        <v>4772</v>
      </c>
      <c r="E34" s="83">
        <v>5749</v>
      </c>
      <c r="F34" s="83">
        <v>6263</v>
      </c>
      <c r="G34" s="83">
        <v>6268</v>
      </c>
      <c r="H34" s="83">
        <v>6666</v>
      </c>
      <c r="I34" s="83">
        <v>7940</v>
      </c>
      <c r="J34" s="83">
        <v>8186</v>
      </c>
      <c r="K34" s="83">
        <v>8400</v>
      </c>
      <c r="L34" s="83">
        <v>8709</v>
      </c>
      <c r="AB34" s="2" t="s">
        <v>41</v>
      </c>
      <c r="AD34" s="2" t="s">
        <v>41</v>
      </c>
      <c r="AE34" s="46">
        <v>0.02</v>
      </c>
    </row>
    <row r="35" spans="1:32" x14ac:dyDescent="0.25">
      <c r="A35" s="84">
        <v>300000</v>
      </c>
      <c r="B35" s="83">
        <v>4045</v>
      </c>
      <c r="C35" s="83">
        <v>4804</v>
      </c>
      <c r="D35" s="83">
        <v>5355</v>
      </c>
      <c r="E35" s="83">
        <v>6614</v>
      </c>
      <c r="F35" s="83">
        <v>7276</v>
      </c>
      <c r="G35" s="83">
        <v>7282</v>
      </c>
      <c r="H35" s="83">
        <v>7794</v>
      </c>
      <c r="I35" s="83">
        <v>9435</v>
      </c>
      <c r="J35" s="83">
        <v>9752</v>
      </c>
      <c r="K35" s="83">
        <v>10028</v>
      </c>
      <c r="L35" s="83">
        <v>10425</v>
      </c>
      <c r="AB35" s="2" t="s">
        <v>45</v>
      </c>
      <c r="AD35" s="2" t="s">
        <v>45</v>
      </c>
      <c r="AE35" s="46">
        <v>0.04</v>
      </c>
    </row>
    <row r="36" spans="1:32" x14ac:dyDescent="0.25">
      <c r="A36" s="84">
        <v>350000</v>
      </c>
      <c r="B36" s="83">
        <v>4292</v>
      </c>
      <c r="C36" s="83">
        <v>5226</v>
      </c>
      <c r="D36" s="83">
        <v>5903</v>
      </c>
      <c r="E36" s="83">
        <v>7451</v>
      </c>
      <c r="F36" s="83">
        <v>8266</v>
      </c>
      <c r="G36" s="83">
        <v>8273</v>
      </c>
      <c r="H36" s="83">
        <v>8903</v>
      </c>
      <c r="I36" s="83">
        <v>10921</v>
      </c>
      <c r="J36" s="83">
        <v>11311</v>
      </c>
      <c r="K36" s="83">
        <v>11650</v>
      </c>
      <c r="L36" s="83">
        <v>12139</v>
      </c>
      <c r="M36" s="7"/>
      <c r="N36" s="4"/>
      <c r="O36" s="4"/>
      <c r="P36" s="4"/>
      <c r="Q36" s="4"/>
      <c r="R36" s="4"/>
      <c r="S36" s="4"/>
      <c r="T36" s="4"/>
      <c r="U36" s="4"/>
      <c r="V36" s="4"/>
      <c r="W36" s="34"/>
      <c r="AB36" s="26" t="s">
        <v>46</v>
      </c>
      <c r="AD36" s="2" t="s">
        <v>46</v>
      </c>
      <c r="AE36" s="46">
        <v>0.05</v>
      </c>
    </row>
    <row r="37" spans="1:32" x14ac:dyDescent="0.25">
      <c r="A37" s="84">
        <v>400000</v>
      </c>
      <c r="B37" s="83">
        <v>4515</v>
      </c>
      <c r="C37" s="83">
        <v>5626</v>
      </c>
      <c r="D37" s="83">
        <v>6432</v>
      </c>
      <c r="E37" s="83">
        <v>8274</v>
      </c>
      <c r="F37" s="83">
        <v>9243</v>
      </c>
      <c r="G37" s="83">
        <v>9252</v>
      </c>
      <c r="H37" s="83">
        <v>10001</v>
      </c>
      <c r="I37" s="83">
        <v>12403</v>
      </c>
      <c r="J37" s="83">
        <v>12866</v>
      </c>
      <c r="K37" s="83">
        <v>13270</v>
      </c>
      <c r="L37" s="83">
        <v>13851</v>
      </c>
      <c r="M37" s="7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32" x14ac:dyDescent="0.25">
      <c r="A38" s="85">
        <v>450000</v>
      </c>
      <c r="B38" s="81">
        <v>4721</v>
      </c>
      <c r="C38" s="81">
        <v>6010</v>
      </c>
      <c r="D38" s="81">
        <v>6946</v>
      </c>
      <c r="E38" s="81">
        <v>9086</v>
      </c>
      <c r="F38" s="81">
        <v>10211</v>
      </c>
      <c r="G38" s="81">
        <v>10221</v>
      </c>
      <c r="H38" s="81">
        <v>11091</v>
      </c>
      <c r="I38" s="81">
        <v>13880</v>
      </c>
      <c r="J38" s="81">
        <v>14418</v>
      </c>
      <c r="K38" s="81">
        <v>14887</v>
      </c>
      <c r="L38" s="81">
        <v>15563</v>
      </c>
      <c r="M38" s="7"/>
      <c r="N38" s="5"/>
      <c r="O38" s="5"/>
      <c r="P38" s="5"/>
      <c r="Q38" s="5"/>
      <c r="R38" s="5"/>
      <c r="S38" s="5"/>
      <c r="T38" s="5"/>
      <c r="U38" s="5"/>
      <c r="V38" s="5"/>
      <c r="W38" s="5"/>
      <c r="AD38" s="6" t="s">
        <v>47</v>
      </c>
      <c r="AE38" s="18">
        <f>IFERROR(VLOOKUP(#REF!,Master!$AD$32:$AE$36,2,0),0)</f>
        <v>0</v>
      </c>
    </row>
    <row r="39" spans="1:32" x14ac:dyDescent="0.25">
      <c r="A39" s="85">
        <v>500000</v>
      </c>
      <c r="B39" s="81">
        <v>4915</v>
      </c>
      <c r="C39" s="81">
        <v>6385</v>
      </c>
      <c r="D39" s="81">
        <v>7452</v>
      </c>
      <c r="E39" s="81">
        <v>9891</v>
      </c>
      <c r="F39" s="81">
        <v>11173</v>
      </c>
      <c r="G39" s="81">
        <v>11185</v>
      </c>
      <c r="H39" s="81">
        <v>12177</v>
      </c>
      <c r="I39" s="81">
        <v>15356</v>
      </c>
      <c r="J39" s="81">
        <v>15969</v>
      </c>
      <c r="K39" s="81">
        <v>16504</v>
      </c>
      <c r="L39" s="81">
        <v>17274</v>
      </c>
      <c r="M39" s="7"/>
      <c r="N39" s="5"/>
      <c r="O39" s="5"/>
      <c r="P39" s="5"/>
      <c r="Q39" s="5"/>
      <c r="R39" s="5"/>
      <c r="S39" s="5"/>
      <c r="T39" s="5"/>
      <c r="U39" s="5"/>
      <c r="V39" s="5"/>
      <c r="W39" s="5"/>
      <c r="AE39" s="1" t="s">
        <v>38</v>
      </c>
      <c r="AF39" s="1" t="s">
        <v>51</v>
      </c>
    </row>
    <row r="40" spans="1:32" x14ac:dyDescent="0.25">
      <c r="A40" s="146" t="s">
        <v>86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7"/>
      <c r="N40" s="5"/>
      <c r="O40" s="5"/>
      <c r="P40" s="5"/>
      <c r="Q40" s="5"/>
      <c r="R40" s="5"/>
      <c r="S40" s="5"/>
      <c r="T40" s="5"/>
      <c r="U40" s="5"/>
      <c r="V40" s="5"/>
      <c r="W40" s="5"/>
      <c r="AD40" s="50" t="s">
        <v>49</v>
      </c>
      <c r="AE40" s="24" t="e">
        <f>$AE$38*$AL$18</f>
        <v>#REF!</v>
      </c>
      <c r="AF40" s="24" t="e">
        <f>$AE$40+$AL$18</f>
        <v>#REF!</v>
      </c>
    </row>
    <row r="41" spans="1:32" x14ac:dyDescent="0.25">
      <c r="A41" t="s">
        <v>75</v>
      </c>
      <c r="B41" t="s">
        <v>80</v>
      </c>
      <c r="C41" s="8"/>
      <c r="D41" s="8"/>
      <c r="E41" s="8"/>
      <c r="F41" s="8"/>
      <c r="G41" s="8"/>
      <c r="M41" s="7"/>
      <c r="N41" s="5"/>
      <c r="O41" s="5"/>
      <c r="P41" s="5"/>
      <c r="Q41" s="5"/>
      <c r="R41" s="5"/>
      <c r="S41" s="5"/>
      <c r="T41" s="5"/>
      <c r="U41" s="5"/>
      <c r="V41" s="5"/>
      <c r="W41" s="5"/>
      <c r="AD41" s="50" t="s">
        <v>50</v>
      </c>
      <c r="AE41" s="24" t="e">
        <f>$AE$38*$AL$18</f>
        <v>#REF!</v>
      </c>
      <c r="AF41" s="24" t="e">
        <f>$AE$41+AL18</f>
        <v>#REF!</v>
      </c>
    </row>
    <row r="42" spans="1:32" x14ac:dyDescent="0.25">
      <c r="A42" s="93" t="s">
        <v>6</v>
      </c>
      <c r="B42" s="80" t="s">
        <v>7</v>
      </c>
      <c r="C42" s="80" t="s">
        <v>8</v>
      </c>
      <c r="D42" s="80" t="s">
        <v>9</v>
      </c>
      <c r="E42" s="80" t="s">
        <v>10</v>
      </c>
      <c r="F42" s="80" t="s">
        <v>11</v>
      </c>
      <c r="G42" s="80" t="s">
        <v>12</v>
      </c>
      <c r="H42" s="80" t="s">
        <v>13</v>
      </c>
      <c r="I42" s="80" t="s">
        <v>14</v>
      </c>
      <c r="J42" s="80" t="s">
        <v>15</v>
      </c>
      <c r="K42" s="80" t="s">
        <v>16</v>
      </c>
      <c r="L42" s="80" t="s">
        <v>74</v>
      </c>
      <c r="M42" s="7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 x14ac:dyDescent="0.25">
      <c r="A43" s="85">
        <v>50000</v>
      </c>
      <c r="B43" s="81">
        <v>8</v>
      </c>
      <c r="C43" s="81">
        <v>8</v>
      </c>
      <c r="D43" s="81">
        <v>9</v>
      </c>
      <c r="E43" s="81">
        <v>9</v>
      </c>
      <c r="F43" s="81">
        <v>10</v>
      </c>
      <c r="G43" s="81">
        <v>10</v>
      </c>
      <c r="H43" s="81">
        <v>10</v>
      </c>
      <c r="I43" s="81">
        <v>11</v>
      </c>
      <c r="J43" s="81">
        <v>11</v>
      </c>
      <c r="K43" s="81">
        <v>12</v>
      </c>
      <c r="L43" s="81">
        <v>12</v>
      </c>
      <c r="M43" s="7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32" x14ac:dyDescent="0.25">
      <c r="A44" s="85">
        <v>100000</v>
      </c>
      <c r="B44" s="81">
        <v>15</v>
      </c>
      <c r="C44" s="81">
        <v>16</v>
      </c>
      <c r="D44" s="81">
        <v>17</v>
      </c>
      <c r="E44" s="81">
        <v>19</v>
      </c>
      <c r="F44" s="81">
        <v>19</v>
      </c>
      <c r="G44" s="81">
        <v>19</v>
      </c>
      <c r="H44" s="81">
        <v>20</v>
      </c>
      <c r="I44" s="81">
        <v>22</v>
      </c>
      <c r="J44" s="81">
        <v>23</v>
      </c>
      <c r="K44" s="81">
        <v>23</v>
      </c>
      <c r="L44" s="81">
        <v>24</v>
      </c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32" x14ac:dyDescent="0.25">
      <c r="A45" s="94">
        <v>150000</v>
      </c>
      <c r="B45" s="82">
        <v>23</v>
      </c>
      <c r="C45" s="82">
        <v>24</v>
      </c>
      <c r="D45" s="82">
        <v>26</v>
      </c>
      <c r="E45" s="82">
        <v>28</v>
      </c>
      <c r="F45" s="82">
        <v>29</v>
      </c>
      <c r="G45" s="82">
        <v>29</v>
      </c>
      <c r="H45" s="82">
        <v>30</v>
      </c>
      <c r="I45" s="82">
        <v>33</v>
      </c>
      <c r="J45" s="82">
        <v>34</v>
      </c>
      <c r="K45" s="82">
        <v>35</v>
      </c>
      <c r="L45" s="83">
        <v>35</v>
      </c>
      <c r="M45" s="7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32" x14ac:dyDescent="0.25">
      <c r="A46" s="85">
        <v>200000</v>
      </c>
      <c r="B46" s="81">
        <v>31</v>
      </c>
      <c r="C46" s="81">
        <v>33</v>
      </c>
      <c r="D46" s="81">
        <v>34</v>
      </c>
      <c r="E46" s="81">
        <v>37</v>
      </c>
      <c r="F46" s="81">
        <v>39</v>
      </c>
      <c r="G46" s="81">
        <v>39</v>
      </c>
      <c r="H46" s="81">
        <v>40</v>
      </c>
      <c r="I46" s="81">
        <v>45</v>
      </c>
      <c r="J46" s="81">
        <v>45</v>
      </c>
      <c r="K46" s="81">
        <v>46</v>
      </c>
      <c r="L46" s="81">
        <v>47</v>
      </c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32" x14ac:dyDescent="0.25">
      <c r="A47" s="85">
        <v>250000</v>
      </c>
      <c r="B47" s="81">
        <v>38</v>
      </c>
      <c r="C47" s="81">
        <v>41</v>
      </c>
      <c r="D47" s="81">
        <v>43</v>
      </c>
      <c r="E47" s="81">
        <v>47</v>
      </c>
      <c r="F47" s="81">
        <v>49</v>
      </c>
      <c r="G47" s="81">
        <v>49</v>
      </c>
      <c r="H47" s="81">
        <v>50</v>
      </c>
      <c r="I47" s="81">
        <v>56</v>
      </c>
      <c r="J47" s="81">
        <v>57</v>
      </c>
      <c r="K47" s="81">
        <v>58</v>
      </c>
      <c r="L47" s="81">
        <v>59</v>
      </c>
      <c r="M47" s="7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32" x14ac:dyDescent="0.25">
      <c r="A48" s="85">
        <v>300000</v>
      </c>
      <c r="B48" s="81">
        <v>46</v>
      </c>
      <c r="C48" s="81">
        <v>49</v>
      </c>
      <c r="D48" s="81">
        <v>51</v>
      </c>
      <c r="E48" s="81">
        <v>56</v>
      </c>
      <c r="F48" s="81">
        <v>58</v>
      </c>
      <c r="G48" s="81">
        <v>58</v>
      </c>
      <c r="H48" s="81">
        <v>60</v>
      </c>
      <c r="I48" s="81">
        <v>67</v>
      </c>
      <c r="J48" s="81">
        <v>68</v>
      </c>
      <c r="K48" s="81">
        <v>69</v>
      </c>
      <c r="L48" s="81">
        <v>71</v>
      </c>
      <c r="M48" s="7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5">
      <c r="A49" s="85">
        <v>350000</v>
      </c>
      <c r="B49" s="81">
        <v>54</v>
      </c>
      <c r="C49" s="81">
        <v>57</v>
      </c>
      <c r="D49" s="81">
        <v>60</v>
      </c>
      <c r="E49" s="81">
        <v>65</v>
      </c>
      <c r="F49" s="81">
        <v>68</v>
      </c>
      <c r="G49" s="81">
        <v>68</v>
      </c>
      <c r="H49" s="81">
        <v>71</v>
      </c>
      <c r="I49" s="81">
        <v>78</v>
      </c>
      <c r="J49" s="81">
        <v>79</v>
      </c>
      <c r="K49" s="81">
        <v>81</v>
      </c>
      <c r="L49" s="81">
        <v>82</v>
      </c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94">
        <v>400000</v>
      </c>
      <c r="B50" s="82">
        <v>61</v>
      </c>
      <c r="C50" s="82">
        <v>65</v>
      </c>
      <c r="D50" s="82">
        <v>68</v>
      </c>
      <c r="E50" s="82">
        <v>75</v>
      </c>
      <c r="F50" s="82">
        <v>78</v>
      </c>
      <c r="G50" s="82">
        <v>78</v>
      </c>
      <c r="H50" s="82">
        <v>81</v>
      </c>
      <c r="I50" s="82">
        <v>89</v>
      </c>
      <c r="J50" s="82">
        <v>91</v>
      </c>
      <c r="K50" s="82">
        <v>92</v>
      </c>
      <c r="L50" s="83">
        <v>94</v>
      </c>
      <c r="M50" s="7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5">
      <c r="A51" s="85">
        <v>450000</v>
      </c>
      <c r="B51" s="81">
        <v>69</v>
      </c>
      <c r="C51" s="81">
        <v>73</v>
      </c>
      <c r="D51" s="81">
        <v>77</v>
      </c>
      <c r="E51" s="81">
        <v>84</v>
      </c>
      <c r="F51" s="81">
        <v>88</v>
      </c>
      <c r="G51" s="81">
        <v>88</v>
      </c>
      <c r="H51" s="81">
        <v>91</v>
      </c>
      <c r="I51" s="81">
        <v>100</v>
      </c>
      <c r="J51" s="81">
        <v>102</v>
      </c>
      <c r="K51" s="81">
        <v>104</v>
      </c>
      <c r="L51" s="81">
        <v>106</v>
      </c>
      <c r="M51" s="7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5">
      <c r="A52" s="85">
        <v>500000</v>
      </c>
      <c r="B52" s="81">
        <v>77</v>
      </c>
      <c r="C52" s="81">
        <v>82</v>
      </c>
      <c r="D52" s="81">
        <v>85</v>
      </c>
      <c r="E52" s="81">
        <v>93</v>
      </c>
      <c r="F52" s="81">
        <v>97</v>
      </c>
      <c r="G52" s="81">
        <v>97</v>
      </c>
      <c r="H52" s="81">
        <v>101</v>
      </c>
      <c r="I52" s="81">
        <v>111</v>
      </c>
      <c r="J52" s="81">
        <v>113</v>
      </c>
      <c r="K52" s="81">
        <v>115</v>
      </c>
      <c r="L52" s="81">
        <v>118</v>
      </c>
      <c r="M52" s="74"/>
      <c r="N52" s="4"/>
      <c r="O52" s="4"/>
      <c r="P52" s="4"/>
      <c r="Q52" s="4"/>
      <c r="R52" s="4"/>
      <c r="S52" s="4"/>
      <c r="T52" s="4"/>
      <c r="U52" s="4"/>
      <c r="V52" s="4"/>
      <c r="W52" s="34"/>
    </row>
    <row r="53" spans="1:23" ht="15.75" thickBot="1" x14ac:dyDescent="0.3">
      <c r="A53" s="57"/>
      <c r="M53" s="33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ht="15.75" thickTop="1" x14ac:dyDescent="0.25">
      <c r="A54" t="s">
        <v>75</v>
      </c>
      <c r="B54" t="s">
        <v>81</v>
      </c>
      <c r="M54" s="33"/>
      <c r="N54" s="10"/>
      <c r="O54" s="10"/>
      <c r="P54" s="10"/>
      <c r="Q54" s="10"/>
      <c r="R54" s="10"/>
      <c r="S54" s="10"/>
      <c r="T54" s="10"/>
      <c r="U54" s="7"/>
      <c r="V54" s="7"/>
      <c r="W54" s="7"/>
    </row>
    <row r="55" spans="1:23" x14ac:dyDescent="0.25">
      <c r="A55" s="93" t="s">
        <v>6</v>
      </c>
      <c r="B55" s="80" t="s">
        <v>7</v>
      </c>
      <c r="C55" s="80" t="s">
        <v>8</v>
      </c>
      <c r="D55" s="80" t="s">
        <v>9</v>
      </c>
      <c r="E55" s="80" t="s">
        <v>10</v>
      </c>
      <c r="F55" s="80" t="s">
        <v>11</v>
      </c>
      <c r="G55" s="80" t="s">
        <v>12</v>
      </c>
      <c r="H55" s="80" t="s">
        <v>13</v>
      </c>
      <c r="I55" s="80" t="s">
        <v>14</v>
      </c>
      <c r="J55" s="80" t="s">
        <v>15</v>
      </c>
      <c r="K55" s="80" t="s">
        <v>16</v>
      </c>
      <c r="L55" s="80" t="s">
        <v>74</v>
      </c>
      <c r="M55" s="33"/>
      <c r="N55" s="10"/>
      <c r="O55" s="10"/>
      <c r="P55" s="10"/>
      <c r="Q55" s="10"/>
      <c r="R55" s="10"/>
      <c r="S55" s="10"/>
      <c r="T55" s="10"/>
      <c r="U55" s="7"/>
      <c r="V55" s="7"/>
      <c r="W55" s="7"/>
    </row>
    <row r="56" spans="1:23" x14ac:dyDescent="0.25">
      <c r="A56" s="85">
        <v>50000</v>
      </c>
      <c r="B56" s="81">
        <v>15</v>
      </c>
      <c r="C56" s="81">
        <v>16</v>
      </c>
      <c r="D56" s="81">
        <v>17</v>
      </c>
      <c r="E56" s="81">
        <v>19</v>
      </c>
      <c r="F56" s="81">
        <v>19</v>
      </c>
      <c r="G56" s="81">
        <v>19</v>
      </c>
      <c r="H56" s="81">
        <v>20</v>
      </c>
      <c r="I56" s="81">
        <v>22</v>
      </c>
      <c r="J56" s="81">
        <v>23</v>
      </c>
      <c r="K56" s="81">
        <v>23</v>
      </c>
      <c r="L56" s="81">
        <v>24</v>
      </c>
      <c r="M56" s="33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25">
      <c r="A57" s="85">
        <v>100000</v>
      </c>
      <c r="B57" s="81">
        <v>31</v>
      </c>
      <c r="C57" s="81">
        <v>33</v>
      </c>
      <c r="D57" s="81">
        <v>34</v>
      </c>
      <c r="E57" s="81">
        <v>37</v>
      </c>
      <c r="F57" s="81">
        <v>39</v>
      </c>
      <c r="G57" s="81">
        <v>39</v>
      </c>
      <c r="H57" s="81">
        <v>40</v>
      </c>
      <c r="I57" s="81">
        <v>45</v>
      </c>
      <c r="J57" s="81">
        <v>45</v>
      </c>
      <c r="K57" s="81">
        <v>46</v>
      </c>
      <c r="L57" s="81">
        <v>47</v>
      </c>
      <c r="M57" s="33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x14ac:dyDescent="0.25">
      <c r="A58" s="94">
        <v>150000</v>
      </c>
      <c r="B58" s="82">
        <v>46</v>
      </c>
      <c r="C58" s="82">
        <v>49</v>
      </c>
      <c r="D58" s="82">
        <v>51</v>
      </c>
      <c r="E58" s="82">
        <v>56</v>
      </c>
      <c r="F58" s="82">
        <v>58</v>
      </c>
      <c r="G58" s="82">
        <v>58</v>
      </c>
      <c r="H58" s="82">
        <v>60</v>
      </c>
      <c r="I58" s="82">
        <v>67</v>
      </c>
      <c r="J58" s="82">
        <v>68</v>
      </c>
      <c r="K58" s="82">
        <v>69</v>
      </c>
      <c r="L58" s="83">
        <v>71</v>
      </c>
      <c r="M58" s="33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5">
      <c r="A59" s="85">
        <v>200000</v>
      </c>
      <c r="B59" s="81">
        <v>61</v>
      </c>
      <c r="C59" s="81">
        <v>65</v>
      </c>
      <c r="D59" s="81">
        <v>68</v>
      </c>
      <c r="E59" s="81">
        <v>75</v>
      </c>
      <c r="F59" s="81">
        <v>78</v>
      </c>
      <c r="G59" s="81">
        <v>78</v>
      </c>
      <c r="H59" s="81">
        <v>81</v>
      </c>
      <c r="I59" s="81">
        <v>89</v>
      </c>
      <c r="J59" s="81">
        <v>91</v>
      </c>
      <c r="K59" s="81">
        <v>92</v>
      </c>
      <c r="L59" s="81">
        <v>94</v>
      </c>
      <c r="M59" s="7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A60" s="85">
        <v>250000</v>
      </c>
      <c r="B60" s="81">
        <v>77</v>
      </c>
      <c r="C60" s="81">
        <v>82</v>
      </c>
      <c r="D60" s="81">
        <v>85</v>
      </c>
      <c r="E60" s="81">
        <v>93</v>
      </c>
      <c r="F60" s="81">
        <v>97</v>
      </c>
      <c r="G60" s="81">
        <v>97</v>
      </c>
      <c r="H60" s="81">
        <v>101</v>
      </c>
      <c r="I60" s="81">
        <v>111</v>
      </c>
      <c r="J60" s="81">
        <v>113</v>
      </c>
      <c r="K60" s="81">
        <v>115</v>
      </c>
      <c r="L60" s="81">
        <v>118</v>
      </c>
      <c r="M60" s="74"/>
      <c r="N60" s="4"/>
      <c r="O60" s="4"/>
      <c r="P60" s="4"/>
      <c r="Q60" s="4"/>
      <c r="R60" s="4"/>
      <c r="S60" s="4"/>
      <c r="T60" s="4"/>
      <c r="U60" s="4"/>
      <c r="V60" s="4"/>
      <c r="W60" s="34"/>
    </row>
    <row r="61" spans="1:23" x14ac:dyDescent="0.25">
      <c r="A61" s="85">
        <v>300000</v>
      </c>
      <c r="B61" s="81">
        <v>92</v>
      </c>
      <c r="C61" s="81">
        <v>98</v>
      </c>
      <c r="D61" s="81">
        <v>102</v>
      </c>
      <c r="E61" s="81">
        <v>112</v>
      </c>
      <c r="F61" s="81">
        <v>117</v>
      </c>
      <c r="G61" s="81">
        <v>117</v>
      </c>
      <c r="H61" s="81">
        <v>121</v>
      </c>
      <c r="I61" s="81">
        <v>134</v>
      </c>
      <c r="J61" s="81">
        <v>136</v>
      </c>
      <c r="K61" s="81">
        <v>138</v>
      </c>
      <c r="L61" s="81">
        <v>141</v>
      </c>
      <c r="M61" s="33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5">
      <c r="A62" s="85">
        <v>350000</v>
      </c>
      <c r="B62" s="81">
        <v>107</v>
      </c>
      <c r="C62" s="81">
        <v>114</v>
      </c>
      <c r="D62" s="81">
        <v>119</v>
      </c>
      <c r="E62" s="81">
        <v>130</v>
      </c>
      <c r="F62" s="81">
        <v>136</v>
      </c>
      <c r="G62" s="81">
        <v>136</v>
      </c>
      <c r="H62" s="81">
        <v>141</v>
      </c>
      <c r="I62" s="81">
        <v>156</v>
      </c>
      <c r="J62" s="81">
        <v>159</v>
      </c>
      <c r="K62" s="81">
        <v>161</v>
      </c>
      <c r="L62" s="81">
        <v>165</v>
      </c>
      <c r="M62" s="33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94">
        <v>400000</v>
      </c>
      <c r="B63" s="82">
        <v>123</v>
      </c>
      <c r="C63" s="82">
        <v>131</v>
      </c>
      <c r="D63" s="82">
        <v>136</v>
      </c>
      <c r="E63" s="82">
        <v>149</v>
      </c>
      <c r="F63" s="82">
        <v>156</v>
      </c>
      <c r="G63" s="82">
        <v>156</v>
      </c>
      <c r="H63" s="82">
        <v>161</v>
      </c>
      <c r="I63" s="82">
        <v>178</v>
      </c>
      <c r="J63" s="82">
        <v>181</v>
      </c>
      <c r="K63" s="82">
        <v>184</v>
      </c>
      <c r="L63" s="83">
        <v>188</v>
      </c>
      <c r="M63" s="33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85">
        <v>450000</v>
      </c>
      <c r="B64" s="81">
        <v>138</v>
      </c>
      <c r="C64" s="81">
        <v>147</v>
      </c>
      <c r="D64" s="81">
        <v>153</v>
      </c>
      <c r="E64" s="81">
        <v>168</v>
      </c>
      <c r="F64" s="81">
        <v>175</v>
      </c>
      <c r="G64" s="81">
        <v>175</v>
      </c>
      <c r="H64" s="81">
        <v>181</v>
      </c>
      <c r="I64" s="81">
        <v>200</v>
      </c>
      <c r="J64" s="81">
        <v>204</v>
      </c>
      <c r="K64" s="81">
        <v>207</v>
      </c>
      <c r="L64" s="81">
        <v>212</v>
      </c>
      <c r="M64" s="33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5">
      <c r="A65" s="85">
        <v>500000</v>
      </c>
      <c r="B65" s="81">
        <v>154</v>
      </c>
      <c r="C65" s="81">
        <v>163</v>
      </c>
      <c r="D65" s="81">
        <v>170</v>
      </c>
      <c r="E65" s="81">
        <v>186</v>
      </c>
      <c r="F65" s="81">
        <v>195</v>
      </c>
      <c r="G65" s="81">
        <v>195</v>
      </c>
      <c r="H65" s="81">
        <v>202</v>
      </c>
      <c r="I65" s="81">
        <v>223</v>
      </c>
      <c r="J65" s="81">
        <v>227</v>
      </c>
      <c r="K65" s="81">
        <v>230</v>
      </c>
      <c r="L65" s="81">
        <v>235</v>
      </c>
      <c r="M65" s="33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4"/>
      <c r="M66" s="33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5">
      <c r="A67" s="33" t="s">
        <v>75</v>
      </c>
      <c r="B67" s="33" t="s">
        <v>82</v>
      </c>
      <c r="C67" s="10"/>
      <c r="D67" s="10"/>
      <c r="E67" s="10"/>
      <c r="F67" s="10"/>
      <c r="G67" s="10"/>
      <c r="H67" s="10"/>
      <c r="I67" s="7"/>
      <c r="J67" s="7"/>
      <c r="K67" s="7"/>
      <c r="L67" s="7"/>
    </row>
    <row r="68" spans="1:23" x14ac:dyDescent="0.25">
      <c r="A68" s="93" t="s">
        <v>6</v>
      </c>
      <c r="B68" s="80" t="s">
        <v>7</v>
      </c>
      <c r="C68" s="80" t="s">
        <v>8</v>
      </c>
      <c r="D68" s="80" t="s">
        <v>9</v>
      </c>
      <c r="E68" s="80" t="s">
        <v>10</v>
      </c>
      <c r="F68" s="80" t="s">
        <v>11</v>
      </c>
      <c r="G68" s="80" t="s">
        <v>12</v>
      </c>
      <c r="H68" s="80" t="s">
        <v>13</v>
      </c>
      <c r="I68" s="80" t="s">
        <v>14</v>
      </c>
      <c r="J68" s="80" t="s">
        <v>15</v>
      </c>
      <c r="K68" s="80" t="s">
        <v>16</v>
      </c>
      <c r="L68" s="80" t="s">
        <v>74</v>
      </c>
    </row>
    <row r="69" spans="1:23" x14ac:dyDescent="0.25">
      <c r="A69" s="85">
        <v>50000</v>
      </c>
      <c r="B69" s="81">
        <v>23</v>
      </c>
      <c r="C69" s="81">
        <v>24</v>
      </c>
      <c r="D69" s="81">
        <v>26</v>
      </c>
      <c r="E69" s="81">
        <v>28</v>
      </c>
      <c r="F69" s="81">
        <v>29</v>
      </c>
      <c r="G69" s="81">
        <v>29</v>
      </c>
      <c r="H69" s="81">
        <v>30</v>
      </c>
      <c r="I69" s="81">
        <v>33</v>
      </c>
      <c r="J69" s="81">
        <v>34</v>
      </c>
      <c r="K69" s="81">
        <v>35</v>
      </c>
      <c r="L69" s="81">
        <v>35</v>
      </c>
    </row>
    <row r="70" spans="1:23" x14ac:dyDescent="0.25">
      <c r="A70" s="85">
        <v>100000</v>
      </c>
      <c r="B70" s="81">
        <v>46</v>
      </c>
      <c r="C70" s="81">
        <v>49</v>
      </c>
      <c r="D70" s="81">
        <v>51</v>
      </c>
      <c r="E70" s="81">
        <v>56</v>
      </c>
      <c r="F70" s="81">
        <v>58</v>
      </c>
      <c r="G70" s="81">
        <v>58</v>
      </c>
      <c r="H70" s="81">
        <v>60</v>
      </c>
      <c r="I70" s="81">
        <v>67</v>
      </c>
      <c r="J70" s="81">
        <v>68</v>
      </c>
      <c r="K70" s="81">
        <v>69</v>
      </c>
      <c r="L70" s="81">
        <v>71</v>
      </c>
    </row>
    <row r="71" spans="1:23" x14ac:dyDescent="0.25">
      <c r="A71" s="94">
        <v>150000</v>
      </c>
      <c r="B71" s="82">
        <v>69</v>
      </c>
      <c r="C71" s="82">
        <v>73</v>
      </c>
      <c r="D71" s="82">
        <v>77</v>
      </c>
      <c r="E71" s="82">
        <v>84</v>
      </c>
      <c r="F71" s="82">
        <v>88</v>
      </c>
      <c r="G71" s="82">
        <v>88</v>
      </c>
      <c r="H71" s="82">
        <v>91</v>
      </c>
      <c r="I71" s="82">
        <v>100</v>
      </c>
      <c r="J71" s="82">
        <v>102</v>
      </c>
      <c r="K71" s="82">
        <v>104</v>
      </c>
      <c r="L71" s="83">
        <v>106</v>
      </c>
    </row>
    <row r="72" spans="1:23" x14ac:dyDescent="0.25">
      <c r="A72" s="85">
        <v>200000</v>
      </c>
      <c r="B72" s="81">
        <v>92</v>
      </c>
      <c r="C72" s="81">
        <v>98</v>
      </c>
      <c r="D72" s="81">
        <v>102</v>
      </c>
      <c r="E72" s="81">
        <v>112</v>
      </c>
      <c r="F72" s="81">
        <v>117</v>
      </c>
      <c r="G72" s="81">
        <v>117</v>
      </c>
      <c r="H72" s="81">
        <v>121</v>
      </c>
      <c r="I72" s="81">
        <v>134</v>
      </c>
      <c r="J72" s="81">
        <v>136</v>
      </c>
      <c r="K72" s="81">
        <v>138</v>
      </c>
      <c r="L72" s="81">
        <v>141</v>
      </c>
    </row>
    <row r="73" spans="1:23" x14ac:dyDescent="0.25">
      <c r="A73" s="85">
        <v>250000</v>
      </c>
      <c r="B73" s="81">
        <v>115</v>
      </c>
      <c r="C73" s="81">
        <v>122</v>
      </c>
      <c r="D73" s="81">
        <v>128</v>
      </c>
      <c r="E73" s="81">
        <v>140</v>
      </c>
      <c r="F73" s="81">
        <v>146</v>
      </c>
      <c r="G73" s="81">
        <v>146</v>
      </c>
      <c r="H73" s="81">
        <v>151</v>
      </c>
      <c r="I73" s="81">
        <v>167</v>
      </c>
      <c r="J73" s="81">
        <v>170</v>
      </c>
      <c r="K73" s="81">
        <v>173</v>
      </c>
      <c r="L73" s="81">
        <v>176</v>
      </c>
    </row>
    <row r="74" spans="1:23" x14ac:dyDescent="0.25">
      <c r="A74" s="85">
        <v>300000</v>
      </c>
      <c r="B74" s="81">
        <v>138</v>
      </c>
      <c r="C74" s="81">
        <v>147</v>
      </c>
      <c r="D74" s="81">
        <v>153</v>
      </c>
      <c r="E74" s="81">
        <v>168</v>
      </c>
      <c r="F74" s="81">
        <v>175</v>
      </c>
      <c r="G74" s="81">
        <v>175</v>
      </c>
      <c r="H74" s="81">
        <v>181</v>
      </c>
      <c r="I74" s="81">
        <v>200</v>
      </c>
      <c r="J74" s="81">
        <v>204</v>
      </c>
      <c r="K74" s="81">
        <v>207</v>
      </c>
      <c r="L74" s="81">
        <v>212</v>
      </c>
    </row>
    <row r="75" spans="1:23" x14ac:dyDescent="0.25">
      <c r="A75" s="85">
        <v>350000</v>
      </c>
      <c r="B75" s="81">
        <v>161</v>
      </c>
      <c r="C75" s="81">
        <v>171</v>
      </c>
      <c r="D75" s="81">
        <v>179</v>
      </c>
      <c r="E75" s="81">
        <v>196</v>
      </c>
      <c r="F75" s="81">
        <v>205</v>
      </c>
      <c r="G75" s="81">
        <v>205</v>
      </c>
      <c r="H75" s="81">
        <v>212</v>
      </c>
      <c r="I75" s="81">
        <v>234</v>
      </c>
      <c r="J75" s="81">
        <v>238</v>
      </c>
      <c r="K75" s="81">
        <v>242</v>
      </c>
      <c r="L75" s="81">
        <v>247</v>
      </c>
    </row>
    <row r="76" spans="1:23" x14ac:dyDescent="0.25">
      <c r="A76" s="94">
        <v>400000</v>
      </c>
      <c r="B76" s="82">
        <v>184</v>
      </c>
      <c r="C76" s="82">
        <v>196</v>
      </c>
      <c r="D76" s="82">
        <v>204</v>
      </c>
      <c r="E76" s="82">
        <v>224</v>
      </c>
      <c r="F76" s="82">
        <v>234</v>
      </c>
      <c r="G76" s="82">
        <v>234</v>
      </c>
      <c r="H76" s="82">
        <v>242</v>
      </c>
      <c r="I76" s="82">
        <v>267</v>
      </c>
      <c r="J76" s="82">
        <v>272</v>
      </c>
      <c r="K76" s="82">
        <v>276</v>
      </c>
      <c r="L76" s="83">
        <v>282</v>
      </c>
    </row>
    <row r="77" spans="1:23" x14ac:dyDescent="0.25">
      <c r="A77" s="85">
        <v>450000</v>
      </c>
      <c r="B77" s="81">
        <v>207</v>
      </c>
      <c r="C77" s="81">
        <v>220</v>
      </c>
      <c r="D77" s="81">
        <v>230</v>
      </c>
      <c r="E77" s="81">
        <v>252</v>
      </c>
      <c r="F77" s="81">
        <v>263</v>
      </c>
      <c r="G77" s="81">
        <v>263</v>
      </c>
      <c r="H77" s="81">
        <v>272</v>
      </c>
      <c r="I77" s="81">
        <v>300</v>
      </c>
      <c r="J77" s="81">
        <v>306</v>
      </c>
      <c r="K77" s="81">
        <v>311</v>
      </c>
      <c r="L77" s="81">
        <v>318</v>
      </c>
    </row>
    <row r="78" spans="1:23" x14ac:dyDescent="0.25">
      <c r="A78" s="85">
        <v>500000</v>
      </c>
      <c r="B78" s="81">
        <v>230</v>
      </c>
      <c r="C78" s="81">
        <v>245</v>
      </c>
      <c r="D78" s="81">
        <v>255</v>
      </c>
      <c r="E78" s="81">
        <v>280</v>
      </c>
      <c r="F78" s="81">
        <v>292</v>
      </c>
      <c r="G78" s="81">
        <v>292</v>
      </c>
      <c r="H78" s="81">
        <v>302</v>
      </c>
      <c r="I78" s="81">
        <v>334</v>
      </c>
      <c r="J78" s="81">
        <v>340</v>
      </c>
      <c r="K78" s="81">
        <v>345</v>
      </c>
      <c r="L78" s="81">
        <v>353</v>
      </c>
    </row>
    <row r="80" spans="1:23" x14ac:dyDescent="0.25">
      <c r="A80" s="16"/>
    </row>
    <row r="81" spans="1:2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3"/>
    </row>
    <row r="82" spans="1:2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2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5" spans="1:25" x14ac:dyDescent="0.25">
      <c r="A85" s="59"/>
    </row>
    <row r="86" spans="1:25" x14ac:dyDescent="0.25">
      <c r="A86" s="60"/>
      <c r="Y86" s="16"/>
    </row>
    <row r="87" spans="1:25" x14ac:dyDescent="0.25">
      <c r="A87" s="58"/>
      <c r="B87" s="2"/>
      <c r="C87" s="2"/>
      <c r="D87" s="2"/>
      <c r="E87" s="2"/>
      <c r="F87" s="2"/>
      <c r="G87" s="2"/>
      <c r="H87" s="2"/>
      <c r="I87" s="2"/>
      <c r="J87" s="2"/>
      <c r="K87" s="2"/>
      <c r="L87" s="13"/>
      <c r="N87" s="58"/>
      <c r="O87" s="4"/>
      <c r="P87" s="4"/>
      <c r="Q87" s="4"/>
      <c r="R87" s="4"/>
      <c r="S87" s="4"/>
      <c r="T87" s="4"/>
      <c r="U87" s="4"/>
      <c r="V87" s="4"/>
      <c r="W87" s="4"/>
      <c r="X87" s="34"/>
      <c r="Y87" s="7"/>
    </row>
    <row r="88" spans="1:25" x14ac:dyDescent="0.25">
      <c r="A88" s="1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40"/>
    </row>
    <row r="89" spans="1:25" x14ac:dyDescent="0.25">
      <c r="A89" s="1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40"/>
    </row>
    <row r="90" spans="1:25" x14ac:dyDescent="0.25">
      <c r="A90" s="1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40"/>
    </row>
    <row r="91" spans="1:25" x14ac:dyDescent="0.25">
      <c r="A91" s="1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40"/>
    </row>
    <row r="92" spans="1:25" x14ac:dyDescent="0.25">
      <c r="A92" s="1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40"/>
    </row>
    <row r="93" spans="1:25" x14ac:dyDescent="0.25">
      <c r="A93" s="1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40"/>
    </row>
    <row r="94" spans="1:25" x14ac:dyDescent="0.25">
      <c r="N94" s="76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60"/>
      <c r="N95" s="76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5">
      <c r="A96" s="26"/>
      <c r="B96" s="2"/>
      <c r="C96" s="2"/>
      <c r="D96" s="2"/>
      <c r="E96" s="2"/>
      <c r="F96" s="2"/>
      <c r="G96" s="2"/>
      <c r="H96" s="2"/>
      <c r="I96" s="2"/>
      <c r="J96" s="2"/>
      <c r="K96" s="2"/>
      <c r="L96" s="13"/>
    </row>
    <row r="97" spans="1:14" x14ac:dyDescent="0.25">
      <c r="A97" s="1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4" x14ac:dyDescent="0.25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100" spans="1:14" x14ac:dyDescent="0.25">
      <c r="A100" s="59"/>
      <c r="M100" s="16"/>
    </row>
    <row r="101" spans="1:14" x14ac:dyDescent="0.25">
      <c r="A101" s="2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3"/>
    </row>
    <row r="102" spans="1:1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40"/>
      <c r="N102" s="19"/>
    </row>
    <row r="103" spans="1:1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40"/>
      <c r="N103" s="19"/>
    </row>
    <row r="104" spans="1:1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40"/>
      <c r="N104" s="19"/>
    </row>
    <row r="105" spans="1:1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40"/>
      <c r="N105" s="19"/>
    </row>
    <row r="106" spans="1:14" x14ac:dyDescent="0.25">
      <c r="M106" s="40"/>
      <c r="N106" s="19"/>
    </row>
    <row r="107" spans="1:14" ht="15.75" thickBot="1" x14ac:dyDescent="0.3">
      <c r="A107" s="57"/>
    </row>
    <row r="108" spans="1:14" ht="15.75" thickTop="1" x14ac:dyDescent="0.25">
      <c r="A108" s="61"/>
      <c r="N108" s="43"/>
    </row>
  </sheetData>
  <mergeCells count="5">
    <mergeCell ref="Y13:Z13"/>
    <mergeCell ref="AG13:AH13"/>
    <mergeCell ref="A40:L40"/>
    <mergeCell ref="Q9:S9"/>
    <mergeCell ref="V4:V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H g J T z X e q f C o A A A A + Q A A A B I A H A B D b 2 5 m a W c v U G F j a 2 F n Z S 5 4 b W w g o h g A K K A U A A A A A A A A A A A A A A A A A A A A A A A A A A A A h Y 8 x D o I w G E a v Q r r T l h L R k J 8 y O J m I M T E x r k 2 t 0 A j F 0 G K 5 m 4 N H 8 g q S K O r m + L 2 8 4 X 2 P 2 x 3 y o a m D q + q s b k 2 G I k x R o I x s j 9 q U G e r d K V y g n M N W y L M o V T D K x q a D P W a o c u 6 S E u K 9 x z 7 G b V c S R m l E D s V 6 J y v V C P S R 9 X 8 5 1 M Y 6 Y a R C H P a v G M 5 w k u B Z P E 9 w l D A G Z O J Q a P N 1 2 J i M K Z A f C M u + d n 2 n u D L h a g N k m k D e N / g T U E s D B B Q A A g A I A C B 4 C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e A l P K I p H u A 4 A A A A R A A A A E w A c A E Z v c m 1 1 b G F z L 1 N l Y 3 R p b 2 4 x L m 0 g o h g A K K A U A A A A A A A A A A A A A A A A A A A A A A A A A A A A K 0 5 N L s n M z 1 M I h t C G 1 g B Q S w E C L Q A U A A I A C A A g e A l P N d 6 p 8 K g A A A D 5 A A A A E g A A A A A A A A A A A A A A A A A A A A A A Q 2 9 u Z m l n L 1 B h Y 2 t h Z 2 U u e G 1 s U E s B A i 0 A F A A C A A g A I H g J T w / K 6 a u k A A A A 6 Q A A A B M A A A A A A A A A A A A A A A A A 9 A A A A F t D b 2 5 0 Z W 5 0 X 1 R 5 c G V z X S 5 4 b W x Q S w E C L Q A U A A I A C A A g e A l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Y O B e R S G R e U y Y b z L 3 V A a A 1 g A A A A A C A A A A A A A D Z g A A w A A A A B A A A A D j 4 8 b 4 n Z 7 u C + Q D 9 A S c K g K Q A A A A A A S A A A C g A A A A E A A A A E N A 4 w b I W L A T 1 E d x J M J 2 u S p Q A A A A 2 W u w C N P X 4 6 C C K r N L 4 c x V t 1 u q L Y q i u c k + 4 e S k c k l j I j E m L E 6 H E + M Q n R b L u 7 X f B w L b x u t S P o x l y 0 4 q / l J C b W k M v Q U Z 7 e 8 O n C R 9 p f 0 e D X 7 C b 5 M U A A A A r o 6 G x 5 x L J z H V I j j y X X y C F O m 1 7 n 4 = < / D a t a M a s h u p > 
</file>

<file path=customXml/itemProps1.xml><?xml version="1.0" encoding="utf-8"?>
<ds:datastoreItem xmlns:ds="http://schemas.openxmlformats.org/officeDocument/2006/customXml" ds:itemID="{3786C373-B88C-42B7-BE8E-9458AF5FE9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Drop down lists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Patil</dc:creator>
  <cp:lastModifiedBy>Shailesh Patil</cp:lastModifiedBy>
  <cp:lastPrinted>2021-08-27T09:49:50Z</cp:lastPrinted>
  <dcterms:created xsi:type="dcterms:W3CDTF">2017-05-31T13:05:47Z</dcterms:created>
  <dcterms:modified xsi:type="dcterms:W3CDTF">2021-09-06T05:24:33Z</dcterms:modified>
</cp:coreProperties>
</file>